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7290" tabRatio="699" firstSheet="1" activeTab="1"/>
  </bookViews>
  <sheets>
    <sheet name="PTO GASTOS 2022 " sheetId="1" state="hidden" r:id="rId1"/>
    <sheet name="PTO INGRESOS" sheetId="2" r:id="rId2"/>
    <sheet name="COSTO VENTA 2022" sheetId="3" state="hidden" r:id="rId3"/>
    <sheet name="PROYECCION SALARIOS 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\0">#REF!</definedName>
    <definedName name="\c">#REF!</definedName>
    <definedName name="\h">#REF!</definedName>
    <definedName name="\m">#REF!</definedName>
    <definedName name="_xlfn.AGGREGATE" hidden="1">#NAME?</definedName>
    <definedName name="BuiltIn_Print_Area">#REF!</definedName>
    <definedName name="cdm">#REF!</definedName>
    <definedName name="IMP">#REF!</definedName>
    <definedName name="PANTA1">#REF!</definedName>
    <definedName name="TABLA">#REF!</definedName>
    <definedName name="TEMP">#REF!</definedName>
    <definedName name="_xlnm.Print_Titles" localSheetId="0">'PTO GASTOS 2022 '!$3:$5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<sst xmlns="http://schemas.openxmlformats.org/spreadsheetml/2006/main" count="487" uniqueCount="319">
  <si>
    <t>CÓDIGO</t>
  </si>
  <si>
    <t xml:space="preserve">DESCRIPCIÓN </t>
  </si>
  <si>
    <t>FUNCIONAMIENTO</t>
  </si>
  <si>
    <t>GASTOS DE PERSONAL</t>
  </si>
  <si>
    <t>Bonificacion por Servicios Prestados</t>
  </si>
  <si>
    <t>Prima de Navidad</t>
  </si>
  <si>
    <t>Prima de Servicios</t>
  </si>
  <si>
    <t>Prima de Vacaciones</t>
  </si>
  <si>
    <t>GASTOS</t>
  </si>
  <si>
    <t>UNIDAD DE LICORES DEL META</t>
  </si>
  <si>
    <t>APROPIACION INICIAL</t>
  </si>
  <si>
    <t>PRESTACIONES SOCIALES</t>
  </si>
  <si>
    <t>2.1.1.01</t>
  </si>
  <si>
    <t>2.1.1.01.01</t>
  </si>
  <si>
    <t>2.1.1.01.01.001</t>
  </si>
  <si>
    <t>2.1.1.01.01.001.01</t>
  </si>
  <si>
    <t>Sueldo basico</t>
  </si>
  <si>
    <t>2.1.1.01.01.001.06</t>
  </si>
  <si>
    <t>2.1.1.01.01.001.07</t>
  </si>
  <si>
    <t>2.1.1.01.01.001.08</t>
  </si>
  <si>
    <t>Prestaciones Sociales</t>
  </si>
  <si>
    <t>2.1.1.01.01.001.08.01</t>
  </si>
  <si>
    <t>2.1.1.01.01.001.08.02</t>
  </si>
  <si>
    <t>2.1.1.01.02</t>
  </si>
  <si>
    <t xml:space="preserve">Aportes a la seguridad social en Pensiones </t>
  </si>
  <si>
    <t xml:space="preserve">Aportes a la seguridad social en Salud </t>
  </si>
  <si>
    <t>Aportes de Cesantias</t>
  </si>
  <si>
    <t>Aportes a caja de compensacion familiar</t>
  </si>
  <si>
    <t>Aportes generales al sistema de riesgos laborales</t>
  </si>
  <si>
    <t>Aportes al ICBF</t>
  </si>
  <si>
    <t>Aportes al SENA</t>
  </si>
  <si>
    <t>2.1.1.01.02.002</t>
  </si>
  <si>
    <t>2.1.1.01.02.003</t>
  </si>
  <si>
    <t>2.1.1.01.02.004</t>
  </si>
  <si>
    <t>2.1.1.01.02.005</t>
  </si>
  <si>
    <t>2.1.1.01.02.006</t>
  </si>
  <si>
    <t>2.1.1.01.02.007</t>
  </si>
  <si>
    <t>Bonificacion especial de recreacion</t>
  </si>
  <si>
    <t>2.1.1.01.03</t>
  </si>
  <si>
    <t>2.1.1.01.03.001</t>
  </si>
  <si>
    <t>2.1.1.01.03.001.01</t>
  </si>
  <si>
    <t>2.1.1.01.03.001.03</t>
  </si>
  <si>
    <t>Vacaciones</t>
  </si>
  <si>
    <t>2.1.2.02.02</t>
  </si>
  <si>
    <t>2.1.3.13</t>
  </si>
  <si>
    <t>2.1.3.13.01.001</t>
  </si>
  <si>
    <t>sentencias</t>
  </si>
  <si>
    <t>conciliaciones</t>
  </si>
  <si>
    <t>2.1.2.01.01.003</t>
  </si>
  <si>
    <t>2.1.2.02.01</t>
  </si>
  <si>
    <t>2.1.8</t>
  </si>
  <si>
    <t>2.1.8.01</t>
  </si>
  <si>
    <t>2.1.8.01.09</t>
  </si>
  <si>
    <t>Impuesto Nacional al consumo</t>
  </si>
  <si>
    <t>2.1.8.04</t>
  </si>
  <si>
    <t>2.1.8.04.01</t>
  </si>
  <si>
    <t>Cuota de Fiscalizacion y auditaje</t>
  </si>
  <si>
    <t>PLANTA DE PERSONAL PERMANENTE</t>
  </si>
  <si>
    <t>FACTORES CONSTITUTIVOS DE SALARIO</t>
  </si>
  <si>
    <t>FACTORES SALARIALES COMUNES</t>
  </si>
  <si>
    <t>REMUNERACIONES NO CONSTITUTIVAS DE FACTOR SALARIAL</t>
  </si>
  <si>
    <t>ADQUISICION DE BIENES Y SERVICIOS</t>
  </si>
  <si>
    <t>AQUISICION DE ACTIVOS NO FINANCIEROS</t>
  </si>
  <si>
    <t>ACTIVOS FIJOS</t>
  </si>
  <si>
    <t>ADQUSICIONES  DIREFENTES ACTIVOS</t>
  </si>
  <si>
    <t>2.1.3</t>
  </si>
  <si>
    <t>TRANSFERENCIAS CORRIENTES</t>
  </si>
  <si>
    <t>CONTRIBUCIONES INHERENTES A LA NOMINA</t>
  </si>
  <si>
    <t>2.1.3.13.01</t>
  </si>
  <si>
    <t>GASTOS DE COMERCILIZACION Y PRODUCCION</t>
  </si>
  <si>
    <t>2.1.2</t>
  </si>
  <si>
    <t>2.1.2.01</t>
  </si>
  <si>
    <t>NIVEL</t>
  </si>
  <si>
    <t>TIPO</t>
  </si>
  <si>
    <t>A</t>
  </si>
  <si>
    <t>C</t>
  </si>
  <si>
    <t>2.1.2.01.01</t>
  </si>
  <si>
    <t>2.1.2.01.01.003.03.01</t>
  </si>
  <si>
    <t>Maquinas para oficina y contabilidad, y sus partes y accesorios</t>
  </si>
  <si>
    <t>2.1.2.02.01.004</t>
  </si>
  <si>
    <t>Productos metalicos y paquetes del software</t>
  </si>
  <si>
    <t xml:space="preserve">2.1.2.02.02.006  </t>
  </si>
  <si>
    <t>2.1.2.02.02.007</t>
  </si>
  <si>
    <t xml:space="preserve">2.1.2.02.01.002   </t>
  </si>
  <si>
    <t>2.1.2.02.02.008</t>
  </si>
  <si>
    <t>Servicios de distribucion de electricidad (por cuenta propia)</t>
  </si>
  <si>
    <t>2.1.2.02.02.009</t>
  </si>
  <si>
    <t>2.1.2.02.02.010</t>
  </si>
  <si>
    <t>Viaticos de los funcionarios en comision</t>
  </si>
  <si>
    <t>2.1.8.01.54</t>
  </si>
  <si>
    <t>c</t>
  </si>
  <si>
    <t>2.1.2.02.02.005</t>
  </si>
  <si>
    <t>MAQUINARIA Y EQUIPO</t>
  </si>
  <si>
    <t>2.1.2.01.01.003.03</t>
  </si>
  <si>
    <t>Maquinaria de oficina, contabilidad e informática</t>
  </si>
  <si>
    <t>2.1.1.01.02.001</t>
  </si>
  <si>
    <t>Muebles, Instrumentos musicales, articulos de deporte, antiguedades</t>
  </si>
  <si>
    <t>Servicios de fabricación de alimentos, bebidas y tabaco</t>
  </si>
  <si>
    <t>Servicios de destilación, rectificación y mezcla de bebidas alcohólicas</t>
  </si>
  <si>
    <t>Servicios de publicidad y suministro de espacio o tiempo publicitario</t>
  </si>
  <si>
    <t>Servicios integrales de publicidad</t>
  </si>
  <si>
    <t>MATERIALES Y SUMINISTROS</t>
  </si>
  <si>
    <t>PRODUCTOS ALIMENTICIOS, BEBIDAS Y TABACO; TEXTILES, PRENDAS DE VESTIR Y PRODUCTOS EN CUERO</t>
  </si>
  <si>
    <t>ADQUISICION DE SERVICIOS</t>
  </si>
  <si>
    <t>SERVICIOS DE ALOJAMIENTO, SERVICIO DE SUMINISTRO DE COMIDAS Y BEBIDAS; SERVICIO DE TRANSPORTE; Y SERVICIO DE DISTRIBUCION DE AGUA</t>
  </si>
  <si>
    <t>SERVICIOS CONEXOS, SERVICIOS INMOBILIARIOS Y SERVICIOS LEASIGN</t>
  </si>
  <si>
    <t>SERVICIOS PRESTADOS A LAS EMPRESAS Y SERVICIOS DE PRODUCCION</t>
  </si>
  <si>
    <t>SERVICIOS PARA LA COMUNIDAD, SOCIALES Y PERSONALES</t>
  </si>
  <si>
    <t>SENTENCIAS Y CONCILIACIONES</t>
  </si>
  <si>
    <t>FALLOS NACIONALES</t>
  </si>
  <si>
    <t>ENTIDADES DEL GOBIERNO EN GENERAL</t>
  </si>
  <si>
    <t>CONTRIBUCIONES</t>
  </si>
  <si>
    <t>ACTIVOS FIJOS NO CASIFICADOS COMO MAQUINARIA Y EQUIPO</t>
  </si>
  <si>
    <t>2.1.2.01.01.004.01.01</t>
  </si>
  <si>
    <t>Muebles</t>
  </si>
  <si>
    <t>2.1.2.01.01.004.01.01.02</t>
  </si>
  <si>
    <t>2.1.3.13.01.002</t>
  </si>
  <si>
    <t>2.1.8.01.14</t>
  </si>
  <si>
    <t>Gravamenes a los movimientos financieros</t>
  </si>
  <si>
    <t>Impuesto de Industria y Comercio</t>
  </si>
  <si>
    <t>2.1.2.02.02.006 - 680231</t>
  </si>
  <si>
    <t>2.1.2.02.02.006 - 69112</t>
  </si>
  <si>
    <t>2.1.2.02.02.008 - 84222</t>
  </si>
  <si>
    <t>Servicio Internet Banda ancha</t>
  </si>
  <si>
    <t>2.1.2.02.02.008 - 84120</t>
  </si>
  <si>
    <t>Servicio de Telefonia fija</t>
  </si>
  <si>
    <t>2.1.2.02.02.008 - 85250</t>
  </si>
  <si>
    <t>Servicio de Proteccion (guardas de Seguridad)</t>
  </si>
  <si>
    <t>servicios de mantenimiento y reparacion de vehiculos automotores.</t>
  </si>
  <si>
    <t>2.1.2.02.02.008 - 87141</t>
  </si>
  <si>
    <t>2.1.2.02.02.008 - 85310</t>
  </si>
  <si>
    <t>Servicios de desinfeccion y exterminacion</t>
  </si>
  <si>
    <t>Servicios Generales de construccion de edificacions no residenciales</t>
  </si>
  <si>
    <t>2.1.2.02.02.005-54121</t>
  </si>
  <si>
    <t>SERVICIOS DE CONSTRUCCION</t>
  </si>
  <si>
    <t>2.1.2.02.02.008 -82199</t>
  </si>
  <si>
    <t>Otros Servicios Juridicos n.cp.</t>
  </si>
  <si>
    <t>2.1.2.02.02.008 - 83990</t>
  </si>
  <si>
    <t>2.1.2.02.02.009 - 94110</t>
  </si>
  <si>
    <t>Servicio de Alcantarillado y tratamiento de aguas residuales</t>
  </si>
  <si>
    <t>2.4.5</t>
  </si>
  <si>
    <t>2.4.5.02</t>
  </si>
  <si>
    <t>2.4.5.02.08</t>
  </si>
  <si>
    <t>2.4.5.02.08-836</t>
  </si>
  <si>
    <t>2.4.5.02.08-83611</t>
  </si>
  <si>
    <t>SERVICIO DE ALOJAMIENTO: SERVICIO SUMINISTRO DE COMIDAS Y BEBIDAS</t>
  </si>
  <si>
    <t>2.4.5.02.06</t>
  </si>
  <si>
    <t>2.4.5.02.06-65</t>
  </si>
  <si>
    <t>2.4.5.02.06-65119</t>
  </si>
  <si>
    <t>Servicios de la salud humana</t>
  </si>
  <si>
    <t>2.1.2.02.02.009 - 931</t>
  </si>
  <si>
    <t>2.1.2.02.02.008 - 83151</t>
  </si>
  <si>
    <t>Servicios de alojamiento de sitios de Web (hosting)</t>
  </si>
  <si>
    <t>PROYECCION PRESUPUESTO GASTOS 2022</t>
  </si>
  <si>
    <t xml:space="preserve">UNIDAD DE LICORES DEL META </t>
  </si>
  <si>
    <t>DESCRIPCIÓN DEL INGRESO</t>
  </si>
  <si>
    <t xml:space="preserve"> INICIAL </t>
  </si>
  <si>
    <t>1.1</t>
  </si>
  <si>
    <t>INGRESOS CORRIENTES</t>
  </si>
  <si>
    <t>1.1.02.05</t>
  </si>
  <si>
    <t>Ventas de bienes y servicios</t>
  </si>
  <si>
    <t>1.1.02.05.001</t>
  </si>
  <si>
    <t>1.1.02.05.001.02</t>
  </si>
  <si>
    <t>1.2</t>
  </si>
  <si>
    <t>RECURSOS DE CAPITAL</t>
  </si>
  <si>
    <t>1.2.02</t>
  </si>
  <si>
    <t>EXCEDENTES FINANCIEROS</t>
  </si>
  <si>
    <t>1.2.02.01</t>
  </si>
  <si>
    <t>Establecimientos publicos</t>
  </si>
  <si>
    <t>1.2.05</t>
  </si>
  <si>
    <t>RENDIMIENTOS FINANCIEROS</t>
  </si>
  <si>
    <t>1.2.05.02</t>
  </si>
  <si>
    <t>Depositos</t>
  </si>
  <si>
    <t>TOTAL</t>
  </si>
  <si>
    <t>REFERENCIA</t>
  </si>
  <si>
    <t>VLR X CAJA</t>
  </si>
  <si>
    <t>VLR X UNIDAD</t>
  </si>
  <si>
    <t>CANTIDAD</t>
  </si>
  <si>
    <t>UNIDADES CONV 750 C.C</t>
  </si>
  <si>
    <t>Ag. Llanero 750cc Guala Meta</t>
  </si>
  <si>
    <t>Ag. Llanero 750cc 1960</t>
  </si>
  <si>
    <t>Ag. Llanero 750cc Full Body</t>
  </si>
  <si>
    <t>Ag. Llanero 375cc Guala Meta</t>
  </si>
  <si>
    <t>Ag. Llanero 375cc Guala Otros</t>
  </si>
  <si>
    <t>Ag. Llanero 1750cc Meta</t>
  </si>
  <si>
    <t xml:space="preserve">TOTAL </t>
  </si>
  <si>
    <t>Ag. Llanero 1750cc Otros</t>
  </si>
  <si>
    <t>Ag. Llanero 375cc Full Body</t>
  </si>
  <si>
    <t>Ag. Llanero 500cc Tetra</t>
  </si>
  <si>
    <t>Ag. Llanero 1000cc Tetra</t>
  </si>
  <si>
    <t>PRESUPUESTO 2022</t>
  </si>
  <si>
    <t>PROYECCION COSTO DE VENTA 2022</t>
  </si>
  <si>
    <t>Ag. Llanero Ligero24° 375cc Guala Meta</t>
  </si>
  <si>
    <t>Ag. Llanero Ligero24° 1750cc Guala Meta</t>
  </si>
  <si>
    <t>Ag. Llanero Ligero24° 750cc Guala Meta</t>
  </si>
  <si>
    <t>OTROS BIENES TRANSPORTABLE (EXCEPTO PRODUCTOS METALICOS, MAQUINARIA Y EQUIPO) Pasta de papel, papel y carton</t>
  </si>
  <si>
    <t>Muebles de tipo utilizado en oficina</t>
  </si>
  <si>
    <t>Entidades del Gobierno (transferencia Dpto)</t>
  </si>
  <si>
    <t xml:space="preserve">Otros tipo de servicios educativos de formación </t>
  </si>
  <si>
    <t>2.1.2.02.02.009 - 92919</t>
  </si>
  <si>
    <t>Otros servicios de diversion y entretenimiento n.c.p.</t>
  </si>
  <si>
    <t>2.1.2.02.02.007-71355</t>
  </si>
  <si>
    <t>Servicios de seguros gerales de resposabilidad Civil</t>
  </si>
  <si>
    <t xml:space="preserve">2.1.2.02.01.002 -23  </t>
  </si>
  <si>
    <t>Pasta o pulpa, papel y productos de papel; impresos y articulos similares</t>
  </si>
  <si>
    <t>2.1.2.02.02.007-71354</t>
  </si>
  <si>
    <t xml:space="preserve">Servicios de Seguros contra incendios, terremotos o sustraccion </t>
  </si>
  <si>
    <t>2.1.2.02.02.008 - 8715299</t>
  </si>
  <si>
    <t>Otros servicios de mantenimiento y reparacion de maquinaria y aparatos electricos n.c.p</t>
  </si>
  <si>
    <t>2.1.3.05</t>
  </si>
  <si>
    <t>2.1.3.05.09</t>
  </si>
  <si>
    <t>2.1.3.05.08</t>
  </si>
  <si>
    <t>A esquemas Asociativas (Acil)</t>
  </si>
  <si>
    <t>GASTOS POR TRIBUTOS, MULTAS Y SANCIONES E INTERESES DE NORA</t>
  </si>
  <si>
    <t>IMPUESTOS</t>
  </si>
  <si>
    <t>2.1.2.02.02.008 - 83132</t>
  </si>
  <si>
    <t>Servicio de soporte en tecnologia de la informacion</t>
  </si>
  <si>
    <t>Contribucion de vigilancia - superintendencia nacional de salud</t>
  </si>
  <si>
    <t>2.1.8.04.07</t>
  </si>
  <si>
    <t xml:space="preserve">INGRESOS </t>
  </si>
  <si>
    <t>1.1.2</t>
  </si>
  <si>
    <t>Ingresos No Tributarios</t>
  </si>
  <si>
    <t>Ventas de establecimientos de Mercado</t>
  </si>
  <si>
    <t>Productos alimenticios, bebidas y Tabaco, Textiles y prendas de vestir</t>
  </si>
  <si>
    <t xml:space="preserve">PLANTA DE PERSONAL Y ASIGNACIONES </t>
  </si>
  <si>
    <t>ENTIDAD TERRITORIAL: UNIDAD DE LICORES DEL META</t>
  </si>
  <si>
    <t>NIVEL DEL CARGO</t>
  </si>
  <si>
    <t>DENOMINACION DEL CARGO</t>
  </si>
  <si>
    <t>COD</t>
  </si>
  <si>
    <t>GRA</t>
  </si>
  <si>
    <t>ASIGNACION</t>
  </si>
  <si>
    <t>%</t>
  </si>
  <si>
    <t>ASIGNACION MENSUAL 2021</t>
  </si>
  <si>
    <t>CANT</t>
  </si>
  <si>
    <t>SUBTOTAL</t>
  </si>
  <si>
    <t>INCREMENTO</t>
  </si>
  <si>
    <t>GASTOS DE</t>
  </si>
  <si>
    <t>GASTOS DE REPRESENTACION 2011</t>
  </si>
  <si>
    <t>PRIMA</t>
  </si>
  <si>
    <t xml:space="preserve">PRIMA DE </t>
  </si>
  <si>
    <t>TOTAL DE</t>
  </si>
  <si>
    <t>BONIFICION</t>
  </si>
  <si>
    <t>BONIFICAC.</t>
  </si>
  <si>
    <t>CESANTIAS</t>
  </si>
  <si>
    <t xml:space="preserve">INTERESES A </t>
  </si>
  <si>
    <t>MENSUAL</t>
  </si>
  <si>
    <t>INCREMENTAL</t>
  </si>
  <si>
    <t>PLAN</t>
  </si>
  <si>
    <t>POR</t>
  </si>
  <si>
    <t>REPRESENTACION</t>
  </si>
  <si>
    <t>TECNICA</t>
  </si>
  <si>
    <t>ALIMENTACION</t>
  </si>
  <si>
    <t>PRIMA DE</t>
  </si>
  <si>
    <t>AÑO</t>
  </si>
  <si>
    <t>DE</t>
  </si>
  <si>
    <t>SERVICIOS</t>
  </si>
  <si>
    <t xml:space="preserve">LAS </t>
  </si>
  <si>
    <t>´2005-2006</t>
  </si>
  <si>
    <t>ACTUAL</t>
  </si>
  <si>
    <t>ANTIGUEDAD</t>
  </si>
  <si>
    <t>UNITARIO</t>
  </si>
  <si>
    <t>UNITARIO 2010</t>
  </si>
  <si>
    <t>DIRECCION</t>
  </si>
  <si>
    <t>VACACIONES</t>
  </si>
  <si>
    <t>NAVIDAD</t>
  </si>
  <si>
    <t>PRESTADOS</t>
  </si>
  <si>
    <t>Directivo</t>
  </si>
  <si>
    <t>Gerente</t>
  </si>
  <si>
    <t>039</t>
  </si>
  <si>
    <t>03</t>
  </si>
  <si>
    <t>|</t>
  </si>
  <si>
    <t>Subdirector Admon y Fin</t>
  </si>
  <si>
    <t>105</t>
  </si>
  <si>
    <t>01</t>
  </si>
  <si>
    <t>Subdirector Comercial</t>
  </si>
  <si>
    <t>asesor</t>
  </si>
  <si>
    <t>Asesor</t>
  </si>
  <si>
    <t>02</t>
  </si>
  <si>
    <t>Profesional</t>
  </si>
  <si>
    <t>Profesional Especializado</t>
  </si>
  <si>
    <t>222</t>
  </si>
  <si>
    <t>05</t>
  </si>
  <si>
    <t>Profesional Universitario</t>
  </si>
  <si>
    <t>219</t>
  </si>
  <si>
    <t>Tecnico Administrativo</t>
  </si>
  <si>
    <t>367</t>
  </si>
  <si>
    <t>Asistencial</t>
  </si>
  <si>
    <t>Conductor Mecánico</t>
  </si>
  <si>
    <t>482</t>
  </si>
  <si>
    <t>10</t>
  </si>
  <si>
    <t>asin</t>
  </si>
  <si>
    <t>Auxiliar Administrativo</t>
  </si>
  <si>
    <t>407</t>
  </si>
  <si>
    <t>09</t>
  </si>
  <si>
    <t>Secretario</t>
  </si>
  <si>
    <t>440</t>
  </si>
  <si>
    <t>08</t>
  </si>
  <si>
    <t>A. TOTALES</t>
  </si>
  <si>
    <t>PERSONAL POR CONTRATO</t>
  </si>
  <si>
    <t>Servicio de Transporte de Carga</t>
  </si>
  <si>
    <t>Otros Servicios Profesionales, Tecnicos y Empresariales n.c.p</t>
  </si>
  <si>
    <t>PRESUPUESTO DE FUNCIONAMIENTO - AUMENTO DE 6% PARA 2022</t>
  </si>
  <si>
    <t>2.4</t>
  </si>
  <si>
    <t>GASTOS DE OPERACIÓN COMERCIAL</t>
  </si>
  <si>
    <t>2.1</t>
  </si>
  <si>
    <t>2.1.1</t>
  </si>
  <si>
    <t>2.1.2.01.01.004</t>
  </si>
  <si>
    <t>2.1.2.01.01.004.01</t>
  </si>
  <si>
    <t>2.1.2.02</t>
  </si>
  <si>
    <t>Productos de Molineria, almidones y productos derivados del almidon; otros productos alimenticios.</t>
  </si>
  <si>
    <t>2.1.2.02.01.003</t>
  </si>
  <si>
    <t>2.1.2.02.01.003-32</t>
  </si>
  <si>
    <t>2.1.2.02.02.009 - 96990</t>
  </si>
  <si>
    <t>Otros servicios de Transporte por carretera n.c.p</t>
  </si>
  <si>
    <t>INGRESOS 2022 CON INCREMENTO DEL 2% ANUAL</t>
  </si>
  <si>
    <t>servicio de Mensajeria</t>
  </si>
  <si>
    <t>NOTA: De acuerdo a instruciones impartidas por la Gerencia, se proyecta el presupuesto vigencia 2022 con la produccion de 605.000 und reducidas a 750cc</t>
  </si>
  <si>
    <t>2.4.5.02.08-881</t>
  </si>
  <si>
    <t>2.4.5.02.08-88181</t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</si>
</sst>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US$&quot;#,##0;\-&quot;US$&quot;#,##0"/>
    <numFmt numFmtId="187" formatCode="&quot;US$&quot;#,##0;[Red]\-&quot;US$&quot;#,##0"/>
    <numFmt numFmtId="188" formatCode="&quot;US$&quot;#,##0.00;\-&quot;US$&quot;#,##0.00"/>
    <numFmt numFmtId="189" formatCode="&quot;US$&quot;#,##0.00;[Red]\-&quot;US$&quot;#,##0.00"/>
    <numFmt numFmtId="190" formatCode="_-&quot;US$&quot;* #,##0_-;\-&quot;US$&quot;* #,##0_-;_-&quot;US$&quot;* &quot;-&quot;_-;_-@_-"/>
    <numFmt numFmtId="191" formatCode="_-&quot;US$&quot;* #,##0.00_-;\-&quot;US$&quot;* #,##0.00_-;_-&quot;US$&quot;* &quot;-&quot;??_-;_-@_-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_(* #,##0_);_(* \(#,##0\);_(* &quot;-&quot;??_);_(@_)"/>
    <numFmt numFmtId="197" formatCode="_ * #,##0_ ;_ * \-#,##0_ ;_ * &quot;-&quot;??_ ;_ @_ "/>
    <numFmt numFmtId="198" formatCode="_ [$€-2]\ * #,##0.00_ ;_ [$€-2]\ * \-#,##0.00_ ;_ [$€-2]\ * &quot;-&quot;??_ "/>
    <numFmt numFmtId="199" formatCode="_(* #,##0.0_);_(* \(#,##0.0\);_(* &quot;-&quot;??_);_(@_)"/>
    <numFmt numFmtId="200" formatCode="_ * #,##0.0_ ;_ * \-#,##0.0_ ;_ * &quot;-&quot;??_ ;_ @_ "/>
    <numFmt numFmtId="201" formatCode="[$-240A]dddd\,\ dd&quot; de &quot;mmmm&quot; de &quot;yyyy"/>
    <numFmt numFmtId="202" formatCode="[$-240A]h:mm:ss\ AM/PM"/>
    <numFmt numFmtId="203" formatCode="#,##0_ ;\-#,##0\ 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$-240A]\ #,##0;[Red][$$-240A]\ #,##0"/>
    <numFmt numFmtId="210" formatCode="#,##0;[Red]#,##0"/>
    <numFmt numFmtId="211" formatCode="_-* #,##0.0_-;\-* #,##0.0_-;_-* &quot;-&quot;?_-;_-@_-"/>
    <numFmt numFmtId="212" formatCode="_-&quot;$&quot;* #,##0_-;\-&quot;$&quot;* #,##0_-;_-&quot;$&quot;* &quot;-&quot;??_-;_-@_-"/>
    <numFmt numFmtId="213" formatCode="#,##0.0"/>
    <numFmt numFmtId="214" formatCode="0.0"/>
    <numFmt numFmtId="215" formatCode="_-* #,##0.00000\ _€_-;\-* #,##0.00000\ _€_-;_-* &quot;-&quot;?????\ _€_-;_-@_-"/>
    <numFmt numFmtId="216" formatCode="_-* #,##0.0\ _€_-;\-* #,##0.0\ _€_-;_-* &quot;-&quot;?\ _€_-;_-@_-"/>
    <numFmt numFmtId="217" formatCode="_(* #,##0.0_);_(* \(#,##0.0\);_(* &quot;-&quot;?_);_(@_)"/>
    <numFmt numFmtId="218" formatCode="#,##0.000"/>
    <numFmt numFmtId="219" formatCode="#,##0.0000000"/>
    <numFmt numFmtId="220" formatCode="0.000"/>
    <numFmt numFmtId="221" formatCode="#,##0.0000"/>
    <numFmt numFmtId="222" formatCode="_ * #,##0.0_ ;_ * \-#,##0.0_ ;_ * &quot;-&quot;_ ;_ @_ "/>
    <numFmt numFmtId="223" formatCode="_ * #,##0.00_ ;_ * \-#,##0.00_ ;_ * &quot;-&quot;_ ;_ @_ 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b/>
      <sz val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9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" fontId="0" fillId="0" borderId="0" xfId="0" applyNumberFormat="1" applyFont="1" applyAlignment="1">
      <alignment/>
    </xf>
    <xf numFmtId="0" fontId="10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59" fillId="34" borderId="13" xfId="0" applyFont="1" applyFill="1" applyBorder="1" applyAlignment="1">
      <alignment horizontal="center" vertical="center" wrapText="1" readingOrder="1"/>
    </xf>
    <xf numFmtId="0" fontId="59" fillId="0" borderId="13" xfId="0" applyFont="1" applyBorder="1" applyAlignment="1">
      <alignment horizontal="left" vertical="top" wrapText="1" readingOrder="1"/>
    </xf>
    <xf numFmtId="3" fontId="59" fillId="0" borderId="13" xfId="0" applyNumberFormat="1" applyFont="1" applyBorder="1" applyAlignment="1">
      <alignment horizontal="right" vertical="top" wrapText="1" readingOrder="1"/>
    </xf>
    <xf numFmtId="0" fontId="60" fillId="0" borderId="13" xfId="0" applyFont="1" applyBorder="1" applyAlignment="1">
      <alignment horizontal="left" vertical="top" wrapText="1" readingOrder="1"/>
    </xf>
    <xf numFmtId="3" fontId="60" fillId="0" borderId="13" xfId="0" applyNumberFormat="1" applyFont="1" applyBorder="1" applyAlignment="1">
      <alignment horizontal="right" vertical="top" wrapText="1" readingOrder="1"/>
    </xf>
    <xf numFmtId="0" fontId="60" fillId="0" borderId="13" xfId="0" applyFont="1" applyBorder="1" applyAlignment="1">
      <alignment horizontal="right" vertical="top" wrapText="1" readingOrder="1"/>
    </xf>
    <xf numFmtId="196" fontId="61" fillId="10" borderId="14" xfId="50" applyNumberFormat="1" applyFont="1" applyFill="1" applyBorder="1" applyAlignment="1">
      <alignment horizontal="center" vertical="center"/>
    </xf>
    <xf numFmtId="196" fontId="61" fillId="10" borderId="15" xfId="50" applyNumberFormat="1" applyFont="1" applyFill="1" applyBorder="1" applyAlignment="1">
      <alignment horizontal="center" vertical="center"/>
    </xf>
    <xf numFmtId="196" fontId="61" fillId="10" borderId="15" xfId="50" applyNumberFormat="1" applyFont="1" applyFill="1" applyBorder="1" applyAlignment="1">
      <alignment horizontal="center" vertical="center" wrapText="1"/>
    </xf>
    <xf numFmtId="196" fontId="0" fillId="0" borderId="16" xfId="50" applyNumberFormat="1" applyFont="1" applyBorder="1" applyAlignment="1">
      <alignment/>
    </xf>
    <xf numFmtId="196" fontId="0" fillId="0" borderId="12" xfId="50" applyNumberFormat="1" applyFont="1" applyBorder="1" applyAlignment="1">
      <alignment/>
    </xf>
    <xf numFmtId="196" fontId="1" fillId="0" borderId="17" xfId="50" applyNumberFormat="1" applyFont="1" applyBorder="1" applyAlignment="1">
      <alignment/>
    </xf>
    <xf numFmtId="196" fontId="0" fillId="0" borderId="18" xfId="50" applyNumberFormat="1" applyFont="1" applyBorder="1" applyAlignment="1">
      <alignment/>
    </xf>
    <xf numFmtId="3" fontId="0" fillId="0" borderId="13" xfId="0" applyNumberFormat="1" applyBorder="1" applyAlignment="1">
      <alignment/>
    </xf>
    <xf numFmtId="196" fontId="0" fillId="0" borderId="19" xfId="50" applyNumberFormat="1" applyFont="1" applyFill="1" applyBorder="1" applyAlignment="1">
      <alignment/>
    </xf>
    <xf numFmtId="196" fontId="0" fillId="0" borderId="12" xfId="50" applyNumberFormat="1" applyFont="1" applyFill="1" applyBorder="1" applyAlignment="1">
      <alignment/>
    </xf>
    <xf numFmtId="196" fontId="1" fillId="0" borderId="20" xfId="50" applyNumberFormat="1" applyFont="1" applyBorder="1" applyAlignment="1">
      <alignment/>
    </xf>
    <xf numFmtId="196" fontId="0" fillId="0" borderId="13" xfId="50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3" fontId="0" fillId="0" borderId="0" xfId="51" applyFont="1" applyAlignment="1">
      <alignment/>
    </xf>
    <xf numFmtId="193" fontId="61" fillId="10" borderId="24" xfId="51" applyFont="1" applyFill="1" applyBorder="1" applyAlignment="1">
      <alignment horizontal="center" vertical="center"/>
    </xf>
    <xf numFmtId="193" fontId="0" fillId="0" borderId="13" xfId="51" applyFont="1" applyBorder="1" applyAlignment="1">
      <alignment/>
    </xf>
    <xf numFmtId="193" fontId="1" fillId="0" borderId="13" xfId="51" applyFont="1" applyBorder="1" applyAlignment="1">
      <alignment/>
    </xf>
    <xf numFmtId="193" fontId="61" fillId="35" borderId="25" xfId="51" applyFont="1" applyFill="1" applyBorder="1" applyAlignment="1">
      <alignment/>
    </xf>
    <xf numFmtId="193" fontId="59" fillId="0" borderId="13" xfId="51" applyFont="1" applyBorder="1" applyAlignment="1">
      <alignment horizontal="right" vertical="top" wrapText="1" readingOrder="1"/>
    </xf>
    <xf numFmtId="3" fontId="4" fillId="0" borderId="0" xfId="0" applyNumberFormat="1" applyFont="1" applyBorder="1" applyAlignment="1">
      <alignment vertical="top"/>
    </xf>
    <xf numFmtId="0" fontId="1" fillId="0" borderId="26" xfId="0" applyFont="1" applyFill="1" applyBorder="1" applyAlignment="1">
      <alignment/>
    </xf>
    <xf numFmtId="37" fontId="1" fillId="0" borderId="0" xfId="55" applyNumberFormat="1" applyFont="1" applyAlignment="1" applyProtection="1">
      <alignment horizontal="left"/>
      <protection/>
    </xf>
    <xf numFmtId="0" fontId="13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3" fontId="0" fillId="0" borderId="0" xfId="55" applyNumberFormat="1" applyFont="1" applyFill="1" applyAlignment="1">
      <alignment/>
      <protection/>
    </xf>
    <xf numFmtId="3" fontId="0" fillId="0" borderId="0" xfId="55" applyNumberFormat="1" applyAlignment="1">
      <alignment/>
      <protection/>
    </xf>
    <xf numFmtId="3" fontId="0" fillId="0" borderId="0" xfId="55" applyNumberFormat="1" applyFill="1" applyAlignment="1">
      <alignment/>
      <protection/>
    </xf>
    <xf numFmtId="3" fontId="0" fillId="0" borderId="0" xfId="55" applyNumberFormat="1" applyFill="1" applyAlignment="1" applyProtection="1">
      <alignment/>
      <protection/>
    </xf>
    <xf numFmtId="3" fontId="0" fillId="0" borderId="0" xfId="55" applyNumberFormat="1" applyAlignment="1" applyProtection="1">
      <alignment/>
      <protection/>
    </xf>
    <xf numFmtId="3" fontId="0" fillId="0" borderId="0" xfId="55" applyNumberFormat="1" applyFont="1" applyAlignment="1">
      <alignment/>
      <protection/>
    </xf>
    <xf numFmtId="37" fontId="1" fillId="36" borderId="0" xfId="55" applyNumberFormat="1" applyFont="1" applyFill="1" applyAlignment="1" applyProtection="1">
      <alignment horizontal="center" vertical="center"/>
      <protection/>
    </xf>
    <xf numFmtId="0" fontId="13" fillId="36" borderId="0" xfId="55" applyFont="1" applyFill="1" applyAlignment="1">
      <alignment horizontal="center" vertical="center"/>
      <protection/>
    </xf>
    <xf numFmtId="0" fontId="0" fillId="36" borderId="0" xfId="55" applyFont="1" applyFill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3" fontId="0" fillId="0" borderId="0" xfId="55" applyNumberFormat="1" applyFont="1" applyFill="1" applyAlignment="1">
      <alignment horizontal="center" vertical="center"/>
      <protection/>
    </xf>
    <xf numFmtId="3" fontId="0" fillId="0" borderId="0" xfId="55" applyNumberFormat="1" applyAlignment="1">
      <alignment horizontal="center" vertical="center"/>
      <protection/>
    </xf>
    <xf numFmtId="3" fontId="0" fillId="0" borderId="0" xfId="55" applyNumberFormat="1" applyFill="1" applyAlignment="1">
      <alignment horizontal="center" vertical="center"/>
      <protection/>
    </xf>
    <xf numFmtId="3" fontId="0" fillId="0" borderId="0" xfId="55" applyNumberFormat="1" applyFill="1" applyAlignment="1" applyProtection="1">
      <alignment horizontal="center" vertical="center"/>
      <protection/>
    </xf>
    <xf numFmtId="3" fontId="0" fillId="37" borderId="27" xfId="55" applyNumberFormat="1" applyFont="1" applyFill="1" applyBorder="1" applyAlignment="1" applyProtection="1">
      <alignment horizontal="center" vertical="center"/>
      <protection/>
    </xf>
    <xf numFmtId="3" fontId="0" fillId="38" borderId="0" xfId="55" applyNumberFormat="1" applyFont="1" applyFill="1" applyBorder="1" applyAlignment="1">
      <alignment horizontal="center" vertical="center"/>
      <protection/>
    </xf>
    <xf numFmtId="37" fontId="14" fillId="0" borderId="13" xfId="55" applyNumberFormat="1" applyFont="1" applyBorder="1" applyAlignment="1" applyProtection="1">
      <alignment horizontal="center" vertical="center"/>
      <protection/>
    </xf>
    <xf numFmtId="37" fontId="0" fillId="0" borderId="13" xfId="55" applyNumberFormat="1" applyFont="1" applyBorder="1" applyAlignment="1" applyProtection="1">
      <alignment horizontal="center" vertical="center"/>
      <protection/>
    </xf>
    <xf numFmtId="0" fontId="0" fillId="0" borderId="13" xfId="55" applyFont="1" applyBorder="1" applyAlignment="1">
      <alignment horizontal="center" vertical="center"/>
      <protection/>
    </xf>
    <xf numFmtId="37" fontId="1" fillId="0" borderId="13" xfId="55" applyNumberFormat="1" applyFont="1" applyBorder="1" applyAlignment="1" applyProtection="1">
      <alignment horizontal="center" vertical="center"/>
      <protection/>
    </xf>
    <xf numFmtId="37" fontId="1" fillId="0" borderId="28" xfId="55" applyNumberFormat="1" applyFont="1" applyBorder="1" applyAlignment="1" applyProtection="1">
      <alignment horizontal="center" vertical="center"/>
      <protection/>
    </xf>
    <xf numFmtId="3" fontId="1" fillId="0" borderId="28" xfId="55" applyNumberFormat="1" applyFont="1" applyFill="1" applyBorder="1" applyAlignment="1" applyProtection="1">
      <alignment horizontal="center" vertical="center"/>
      <protection/>
    </xf>
    <xf numFmtId="3" fontId="14" fillId="0" borderId="28" xfId="55" applyNumberFormat="1" applyFont="1" applyFill="1" applyBorder="1" applyAlignment="1" applyProtection="1">
      <alignment horizontal="center" vertical="center"/>
      <protection/>
    </xf>
    <xf numFmtId="3" fontId="14" fillId="0" borderId="29" xfId="55" applyNumberFormat="1" applyFont="1" applyFill="1" applyBorder="1" applyAlignment="1" applyProtection="1">
      <alignment horizontal="center" vertical="center"/>
      <protection/>
    </xf>
    <xf numFmtId="3" fontId="14" fillId="0" borderId="30" xfId="55" applyNumberFormat="1" applyFont="1" applyFill="1" applyBorder="1" applyAlignment="1" applyProtection="1">
      <alignment horizontal="center" vertical="center"/>
      <protection/>
    </xf>
    <xf numFmtId="3" fontId="1" fillId="0" borderId="30" xfId="55" applyNumberFormat="1" applyFont="1" applyFill="1" applyBorder="1" applyAlignment="1" applyProtection="1">
      <alignment horizontal="center" vertical="center"/>
      <protection/>
    </xf>
    <xf numFmtId="3" fontId="1" fillId="0" borderId="30" xfId="55" applyNumberFormat="1" applyFont="1" applyFill="1" applyBorder="1" applyAlignment="1">
      <alignment horizontal="center" vertical="center"/>
      <protection/>
    </xf>
    <xf numFmtId="3" fontId="1" fillId="0" borderId="0" xfId="55" applyNumberFormat="1" applyFont="1" applyFill="1" applyBorder="1" applyAlignment="1" applyProtection="1">
      <alignment horizontal="center" vertical="center"/>
      <protection/>
    </xf>
    <xf numFmtId="37" fontId="1" fillId="0" borderId="27" xfId="55" applyNumberFormat="1" applyFont="1" applyBorder="1" applyAlignment="1" applyProtection="1">
      <alignment horizontal="center" vertical="center"/>
      <protection/>
    </xf>
    <xf numFmtId="3" fontId="1" fillId="0" borderId="27" xfId="55" applyNumberFormat="1" applyFont="1" applyFill="1" applyBorder="1" applyAlignment="1" applyProtection="1">
      <alignment horizontal="center" vertical="center"/>
      <protection/>
    </xf>
    <xf numFmtId="3" fontId="14" fillId="0" borderId="27" xfId="55" applyNumberFormat="1" applyFont="1" applyFill="1" applyBorder="1" applyAlignment="1" applyProtection="1">
      <alignment horizontal="center" vertical="center"/>
      <protection/>
    </xf>
    <xf numFmtId="3" fontId="14" fillId="0" borderId="31" xfId="55" applyNumberFormat="1" applyFont="1" applyFill="1" applyBorder="1" applyAlignment="1" applyProtection="1">
      <alignment horizontal="center" vertical="center"/>
      <protection/>
    </xf>
    <xf numFmtId="3" fontId="1" fillId="0" borderId="27" xfId="55" applyNumberFormat="1" applyFont="1" applyFill="1" applyBorder="1" applyAlignment="1">
      <alignment horizontal="center" vertical="center"/>
      <protection/>
    </xf>
    <xf numFmtId="37" fontId="14" fillId="0" borderId="13" xfId="55" applyNumberFormat="1" applyFont="1" applyBorder="1" applyAlignment="1" applyProtection="1">
      <alignment horizontal="center"/>
      <protection/>
    </xf>
    <xf numFmtId="37" fontId="0" fillId="0" borderId="13" xfId="55" applyNumberFormat="1" applyFont="1" applyBorder="1" applyAlignment="1" applyProtection="1">
      <alignment horizontal="center"/>
      <protection/>
    </xf>
    <xf numFmtId="0" fontId="0" fillId="0" borderId="13" xfId="55" applyFont="1" applyBorder="1" applyAlignment="1">
      <alignment/>
      <protection/>
    </xf>
    <xf numFmtId="37" fontId="1" fillId="0" borderId="13" xfId="55" applyNumberFormat="1" applyFont="1" applyBorder="1" applyAlignment="1" applyProtection="1">
      <alignment horizontal="center"/>
      <protection/>
    </xf>
    <xf numFmtId="37" fontId="1" fillId="0" borderId="32" xfId="55" applyNumberFormat="1" applyFont="1" applyBorder="1" applyAlignment="1" applyProtection="1">
      <alignment horizontal="center"/>
      <protection/>
    </xf>
    <xf numFmtId="3" fontId="1" fillId="0" borderId="32" xfId="55" applyNumberFormat="1" applyFont="1" applyFill="1" applyBorder="1" applyAlignment="1">
      <alignment horizontal="center"/>
      <protection/>
    </xf>
    <xf numFmtId="3" fontId="14" fillId="0" borderId="32" xfId="55" applyNumberFormat="1" applyFont="1" applyFill="1" applyBorder="1" applyAlignment="1" applyProtection="1">
      <alignment horizontal="center"/>
      <protection/>
    </xf>
    <xf numFmtId="3" fontId="14" fillId="0" borderId="32" xfId="55" applyNumberFormat="1" applyFont="1" applyFill="1" applyBorder="1" applyAlignment="1">
      <alignment horizontal="center"/>
      <protection/>
    </xf>
    <xf numFmtId="3" fontId="14" fillId="0" borderId="32" xfId="55" applyNumberFormat="1" applyFont="1" applyFill="1" applyBorder="1" applyAlignment="1">
      <alignment/>
      <protection/>
    </xf>
    <xf numFmtId="3" fontId="14" fillId="0" borderId="33" xfId="55" applyNumberFormat="1" applyFont="1" applyFill="1" applyBorder="1" applyAlignment="1">
      <alignment horizontal="center"/>
      <protection/>
    </xf>
    <xf numFmtId="3" fontId="1" fillId="0" borderId="32" xfId="55" applyNumberFormat="1" applyFont="1" applyFill="1" applyBorder="1" applyAlignment="1" applyProtection="1">
      <alignment horizontal="center"/>
      <protection/>
    </xf>
    <xf numFmtId="3" fontId="1" fillId="0" borderId="32" xfId="55" applyNumberFormat="1" applyFont="1" applyFill="1" applyBorder="1" applyAlignment="1">
      <alignment/>
      <protection/>
    </xf>
    <xf numFmtId="3" fontId="1" fillId="0" borderId="0" xfId="55" applyNumberFormat="1" applyFont="1" applyFill="1" applyBorder="1" applyAlignment="1">
      <alignment/>
      <protection/>
    </xf>
    <xf numFmtId="0" fontId="0" fillId="39" borderId="13" xfId="55" applyFont="1" applyFill="1" applyBorder="1" applyAlignment="1">
      <alignment/>
      <protection/>
    </xf>
    <xf numFmtId="49" fontId="0" fillId="0" borderId="34" xfId="55" applyNumberFormat="1" applyFont="1" applyBorder="1" applyAlignment="1">
      <alignment horizontal="center"/>
      <protection/>
    </xf>
    <xf numFmtId="49" fontId="0" fillId="0" borderId="30" xfId="55" applyNumberFormat="1" applyFont="1" applyBorder="1" applyAlignment="1" applyProtection="1">
      <alignment horizontal="center"/>
      <protection/>
    </xf>
    <xf numFmtId="0" fontId="8" fillId="0" borderId="30" xfId="55" applyFont="1" applyBorder="1" applyAlignment="1">
      <alignment/>
      <protection/>
    </xf>
    <xf numFmtId="209" fontId="0" fillId="0" borderId="30" xfId="55" applyNumberFormat="1" applyFont="1" applyBorder="1" applyAlignment="1">
      <alignment/>
      <protection/>
    </xf>
    <xf numFmtId="10" fontId="0" fillId="0" borderId="30" xfId="58" applyNumberFormat="1" applyFont="1" applyFill="1" applyBorder="1" applyAlignment="1" applyProtection="1">
      <alignment/>
      <protection/>
    </xf>
    <xf numFmtId="209" fontId="12" fillId="40" borderId="35" xfId="0" applyNumberFormat="1" applyFont="1" applyFill="1" applyBorder="1" applyAlignment="1">
      <alignment/>
    </xf>
    <xf numFmtId="210" fontId="12" fillId="41" borderId="22" xfId="0" applyNumberFormat="1" applyFont="1" applyFill="1" applyBorder="1" applyAlignment="1">
      <alignment/>
    </xf>
    <xf numFmtId="3" fontId="0" fillId="0" borderId="27" xfId="55" applyNumberFormat="1" applyFont="1" applyFill="1" applyBorder="1" applyAlignment="1">
      <alignment/>
      <protection/>
    </xf>
    <xf numFmtId="3" fontId="0" fillId="0" borderId="27" xfId="55" applyNumberFormat="1" applyFont="1" applyFill="1" applyBorder="1" applyAlignment="1" applyProtection="1">
      <alignment/>
      <protection/>
    </xf>
    <xf numFmtId="3" fontId="8" fillId="0" borderId="27" xfId="55" applyNumberFormat="1" applyFont="1" applyBorder="1" applyAlignment="1">
      <alignment/>
      <protection/>
    </xf>
    <xf numFmtId="3" fontId="8" fillId="0" borderId="27" xfId="55" applyNumberFormat="1" applyFont="1" applyFill="1" applyBorder="1" applyAlignment="1">
      <alignment/>
      <protection/>
    </xf>
    <xf numFmtId="209" fontId="12" fillId="40" borderId="13" xfId="0" applyNumberFormat="1" applyFont="1" applyFill="1" applyBorder="1" applyAlignment="1">
      <alignment/>
    </xf>
    <xf numFmtId="209" fontId="12" fillId="40" borderId="0" xfId="0" applyNumberFormat="1" applyFont="1" applyFill="1" applyBorder="1" applyAlignment="1">
      <alignment/>
    </xf>
    <xf numFmtId="3" fontId="0" fillId="0" borderId="27" xfId="55" applyNumberFormat="1" applyFont="1" applyBorder="1" applyAlignment="1">
      <alignment/>
      <protection/>
    </xf>
    <xf numFmtId="3" fontId="8" fillId="0" borderId="27" xfId="55" applyNumberFormat="1" applyFont="1" applyBorder="1" applyAlignment="1" applyProtection="1">
      <alignment/>
      <protection/>
    </xf>
    <xf numFmtId="3" fontId="8" fillId="0" borderId="31" xfId="55" applyNumberFormat="1" applyFont="1" applyFill="1" applyBorder="1" applyAlignment="1" applyProtection="1">
      <alignment/>
      <protection/>
    </xf>
    <xf numFmtId="3" fontId="15" fillId="0" borderId="36" xfId="55" applyNumberFormat="1" applyFont="1" applyBorder="1" applyAlignment="1" applyProtection="1">
      <alignment/>
      <protection/>
    </xf>
    <xf numFmtId="3" fontId="0" fillId="0" borderId="27" xfId="55" applyNumberFormat="1" applyFont="1" applyBorder="1" applyAlignment="1" applyProtection="1">
      <alignment/>
      <protection/>
    </xf>
    <xf numFmtId="3" fontId="0" fillId="0" borderId="0" xfId="55" applyNumberFormat="1" applyFont="1" applyBorder="1" applyAlignment="1" applyProtection="1">
      <alignment/>
      <protection/>
    </xf>
    <xf numFmtId="0" fontId="1" fillId="0" borderId="13" xfId="55" applyNumberFormat="1" applyFont="1" applyBorder="1" applyAlignment="1">
      <alignment/>
      <protection/>
    </xf>
    <xf numFmtId="0" fontId="0" fillId="39" borderId="13" xfId="0" applyFill="1" applyBorder="1" applyAlignment="1">
      <alignment/>
    </xf>
    <xf numFmtId="49" fontId="0" fillId="0" borderId="37" xfId="55" applyNumberFormat="1" applyFont="1" applyBorder="1" applyAlignment="1">
      <alignment horizontal="center"/>
      <protection/>
    </xf>
    <xf numFmtId="49" fontId="0" fillId="0" borderId="27" xfId="55" applyNumberFormat="1" applyFont="1" applyBorder="1" applyAlignment="1" applyProtection="1">
      <alignment horizontal="center"/>
      <protection/>
    </xf>
    <xf numFmtId="0" fontId="8" fillId="0" borderId="27" xfId="55" applyFont="1" applyBorder="1" applyAlignment="1">
      <alignment/>
      <protection/>
    </xf>
    <xf numFmtId="209" fontId="0" fillId="0" borderId="27" xfId="55" applyNumberFormat="1" applyFont="1" applyBorder="1" applyAlignment="1">
      <alignment/>
      <protection/>
    </xf>
    <xf numFmtId="10" fontId="0" fillId="0" borderId="27" xfId="58" applyNumberFormat="1" applyFont="1" applyFill="1" applyBorder="1" applyAlignment="1" applyProtection="1">
      <alignment/>
      <protection/>
    </xf>
    <xf numFmtId="210" fontId="12" fillId="41" borderId="37" xfId="55" applyNumberFormat="1" applyFont="1" applyFill="1" applyBorder="1" applyAlignment="1" applyProtection="1">
      <alignment/>
      <protection/>
    </xf>
    <xf numFmtId="0" fontId="0" fillId="39" borderId="13" xfId="55" applyNumberFormat="1" applyFont="1" applyFill="1" applyBorder="1" applyAlignment="1">
      <alignment/>
      <protection/>
    </xf>
    <xf numFmtId="3" fontId="8" fillId="0" borderId="38" xfId="55" applyNumberFormat="1" applyFont="1" applyBorder="1" applyAlignment="1">
      <alignment/>
      <protection/>
    </xf>
    <xf numFmtId="0" fontId="0" fillId="0" borderId="13" xfId="55" applyNumberFormat="1" applyFont="1" applyBorder="1" applyAlignment="1">
      <alignment/>
      <protection/>
    </xf>
    <xf numFmtId="209" fontId="12" fillId="0" borderId="13" xfId="0" applyNumberFormat="1" applyFont="1" applyFill="1" applyBorder="1" applyAlignment="1">
      <alignment/>
    </xf>
    <xf numFmtId="3" fontId="8" fillId="0" borderId="37" xfId="55" applyNumberFormat="1" applyFont="1" applyFill="1" applyBorder="1" applyAlignment="1">
      <alignment/>
      <protection/>
    </xf>
    <xf numFmtId="209" fontId="0" fillId="42" borderId="27" xfId="55" applyNumberFormat="1" applyFont="1" applyFill="1" applyBorder="1" applyAlignment="1">
      <alignment/>
      <protection/>
    </xf>
    <xf numFmtId="0" fontId="1" fillId="0" borderId="39" xfId="55" applyNumberFormat="1" applyFont="1" applyBorder="1" applyAlignment="1">
      <alignment/>
      <protection/>
    </xf>
    <xf numFmtId="0" fontId="1" fillId="0" borderId="40" xfId="55" applyNumberFormat="1" applyFont="1" applyBorder="1" applyAlignment="1">
      <alignment/>
      <protection/>
    </xf>
    <xf numFmtId="0" fontId="1" fillId="0" borderId="41" xfId="55" applyFont="1" applyBorder="1" applyAlignment="1">
      <alignment horizontal="right"/>
      <protection/>
    </xf>
    <xf numFmtId="209" fontId="0" fillId="0" borderId="41" xfId="55" applyNumberFormat="1" applyFont="1" applyBorder="1" applyAlignment="1">
      <alignment horizontal="right"/>
      <protection/>
    </xf>
    <xf numFmtId="10" fontId="0" fillId="0" borderId="41" xfId="55" applyNumberFormat="1" applyFont="1" applyBorder="1" applyAlignment="1">
      <alignment horizontal="right"/>
      <protection/>
    </xf>
    <xf numFmtId="210" fontId="1" fillId="41" borderId="41" xfId="55" applyNumberFormat="1" applyFont="1" applyFill="1" applyBorder="1" applyAlignment="1">
      <alignment horizontal="right"/>
      <protection/>
    </xf>
    <xf numFmtId="0" fontId="1" fillId="0" borderId="42" xfId="55" applyFont="1" applyBorder="1" applyAlignment="1">
      <alignment horizontal="right"/>
      <protection/>
    </xf>
    <xf numFmtId="3" fontId="0" fillId="3" borderId="43" xfId="55" applyNumberFormat="1" applyFont="1" applyFill="1" applyBorder="1" applyAlignment="1" applyProtection="1">
      <alignment/>
      <protection/>
    </xf>
    <xf numFmtId="3" fontId="1" fillId="3" borderId="44" xfId="55" applyNumberFormat="1" applyFont="1" applyFill="1" applyBorder="1" applyAlignment="1">
      <alignment horizontal="right"/>
      <protection/>
    </xf>
    <xf numFmtId="3" fontId="1" fillId="3" borderId="41" xfId="55" applyNumberFormat="1" applyFont="1" applyFill="1" applyBorder="1" applyAlignment="1">
      <alignment horizontal="right"/>
      <protection/>
    </xf>
    <xf numFmtId="3" fontId="16" fillId="3" borderId="41" xfId="55" applyNumberFormat="1" applyFont="1" applyFill="1" applyBorder="1" applyAlignment="1">
      <alignment horizontal="right"/>
      <protection/>
    </xf>
    <xf numFmtId="3" fontId="1" fillId="3" borderId="27" xfId="55" applyNumberFormat="1" applyFont="1" applyFill="1" applyBorder="1" applyAlignment="1" applyProtection="1">
      <alignment/>
      <protection/>
    </xf>
    <xf numFmtId="3" fontId="1" fillId="43" borderId="0" xfId="55" applyNumberFormat="1" applyFont="1" applyFill="1" applyBorder="1" applyAlignment="1" applyProtection="1">
      <alignment/>
      <protection/>
    </xf>
    <xf numFmtId="0" fontId="1" fillId="0" borderId="45" xfId="55" applyNumberFormat="1" applyFont="1" applyBorder="1" applyAlignment="1">
      <alignment/>
      <protection/>
    </xf>
    <xf numFmtId="0" fontId="1" fillId="0" borderId="46" xfId="55" applyNumberFormat="1" applyFont="1" applyBorder="1" applyAlignment="1">
      <alignment/>
      <protection/>
    </xf>
    <xf numFmtId="0" fontId="0" fillId="43" borderId="30" xfId="55" applyFont="1" applyFill="1" applyBorder="1" applyAlignment="1">
      <alignment/>
      <protection/>
    </xf>
    <xf numFmtId="0" fontId="0" fillId="43" borderId="30" xfId="55" applyFont="1" applyFill="1" applyBorder="1" applyAlignment="1" applyProtection="1">
      <alignment/>
      <protection/>
    </xf>
    <xf numFmtId="0" fontId="8" fillId="43" borderId="30" xfId="55" applyFont="1" applyFill="1" applyBorder="1" applyAlignment="1">
      <alignment/>
      <protection/>
    </xf>
    <xf numFmtId="209" fontId="0" fillId="43" borderId="30" xfId="55" applyNumberFormat="1" applyFont="1" applyFill="1" applyBorder="1" applyAlignment="1">
      <alignment/>
      <protection/>
    </xf>
    <xf numFmtId="3" fontId="0" fillId="43" borderId="30" xfId="55" applyNumberFormat="1" applyFont="1" applyFill="1" applyBorder="1" applyAlignment="1">
      <alignment/>
      <protection/>
    </xf>
    <xf numFmtId="3" fontId="1" fillId="0" borderId="30" xfId="55" applyNumberFormat="1" applyFont="1" applyFill="1" applyBorder="1" applyAlignment="1">
      <alignment/>
      <protection/>
    </xf>
    <xf numFmtId="3" fontId="8" fillId="43" borderId="30" xfId="55" applyNumberFormat="1" applyFont="1" applyFill="1" applyBorder="1" applyAlignment="1">
      <alignment/>
      <protection/>
    </xf>
    <xf numFmtId="3" fontId="8" fillId="0" borderId="30" xfId="55" applyNumberFormat="1" applyFont="1" applyFill="1" applyBorder="1" applyAlignment="1">
      <alignment/>
      <protection/>
    </xf>
    <xf numFmtId="3" fontId="8" fillId="43" borderId="30" xfId="55" applyNumberFormat="1" applyFont="1" applyFill="1" applyBorder="1" applyAlignment="1" applyProtection="1">
      <alignment/>
      <protection/>
    </xf>
    <xf numFmtId="3" fontId="17" fillId="0" borderId="47" xfId="55" applyNumberFormat="1" applyFont="1" applyFill="1" applyBorder="1" applyAlignment="1" applyProtection="1">
      <alignment/>
      <protection/>
    </xf>
    <xf numFmtId="3" fontId="17" fillId="44" borderId="48" xfId="55" applyNumberFormat="1" applyFont="1" applyFill="1" applyBorder="1" applyAlignment="1" applyProtection="1">
      <alignment/>
      <protection/>
    </xf>
    <xf numFmtId="3" fontId="0" fillId="44" borderId="30" xfId="55" applyNumberFormat="1" applyFont="1" applyFill="1" applyBorder="1" applyAlignment="1" applyProtection="1">
      <alignment/>
      <protection/>
    </xf>
    <xf numFmtId="3" fontId="0" fillId="43" borderId="0" xfId="55" applyNumberFormat="1" applyFont="1" applyFill="1" applyBorder="1" applyAlignment="1" applyProtection="1">
      <alignment/>
      <protection/>
    </xf>
    <xf numFmtId="3" fontId="1" fillId="0" borderId="0" xfId="55" applyNumberFormat="1" applyFont="1" applyFill="1" applyAlignment="1">
      <alignment/>
      <protection/>
    </xf>
    <xf numFmtId="3" fontId="0" fillId="0" borderId="0" xfId="55" applyNumberFormat="1" applyFont="1" applyAlignment="1">
      <alignment/>
      <protection/>
    </xf>
    <xf numFmtId="3" fontId="1" fillId="0" borderId="0" xfId="55" applyNumberFormat="1" applyFont="1" applyAlignment="1">
      <alignment/>
      <protection/>
    </xf>
    <xf numFmtId="210" fontId="12" fillId="40" borderId="22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justify" vertical="top" wrapText="1" readingOrder="1"/>
    </xf>
    <xf numFmtId="0" fontId="39" fillId="0" borderId="13" xfId="0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>
      <alignment vertical="top" wrapText="1"/>
    </xf>
    <xf numFmtId="0" fontId="39" fillId="0" borderId="13" xfId="0" applyFont="1" applyFill="1" applyBorder="1" applyAlignment="1">
      <alignment horizontal="justify" vertical="top" wrapText="1" readingOrder="1"/>
    </xf>
    <xf numFmtId="0" fontId="39" fillId="35" borderId="13" xfId="0" applyFont="1" applyFill="1" applyBorder="1" applyAlignment="1">
      <alignment vertical="top"/>
    </xf>
    <xf numFmtId="0" fontId="39" fillId="35" borderId="13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left" vertical="top"/>
    </xf>
    <xf numFmtId="0" fontId="35" fillId="35" borderId="13" xfId="0" applyFont="1" applyFill="1" applyBorder="1" applyAlignment="1" applyProtection="1">
      <alignment vertical="top"/>
      <protection/>
    </xf>
    <xf numFmtId="3" fontId="39" fillId="0" borderId="13" xfId="0" applyNumberFormat="1" applyFont="1" applyFill="1" applyBorder="1" applyAlignment="1">
      <alignment horizontal="right" vertical="top"/>
    </xf>
    <xf numFmtId="3" fontId="58" fillId="0" borderId="13" xfId="0" applyNumberFormat="1" applyFont="1" applyFill="1" applyBorder="1" applyAlignment="1">
      <alignment vertical="top" wrapText="1"/>
    </xf>
    <xf numFmtId="0" fontId="18" fillId="0" borderId="13" xfId="0" applyFont="1" applyFill="1" applyBorder="1" applyAlignment="1" applyProtection="1">
      <alignment vertical="top" wrapText="1"/>
      <protection/>
    </xf>
    <xf numFmtId="3" fontId="42" fillId="0" borderId="13" xfId="0" applyNumberFormat="1" applyFont="1" applyFill="1" applyBorder="1" applyAlignment="1">
      <alignment vertical="top" wrapText="1"/>
    </xf>
    <xf numFmtId="0" fontId="39" fillId="0" borderId="13" xfId="0" applyFont="1" applyFill="1" applyBorder="1" applyAlignment="1" applyProtection="1">
      <alignment vertical="top" wrapText="1"/>
      <protection/>
    </xf>
    <xf numFmtId="0" fontId="39" fillId="0" borderId="13" xfId="0" applyFont="1" applyFill="1" applyBorder="1" applyAlignment="1">
      <alignment horizontal="justify" vertical="top" readingOrder="1"/>
    </xf>
    <xf numFmtId="0" fontId="39" fillId="0" borderId="13" xfId="0" applyFont="1" applyFill="1" applyBorder="1" applyAlignment="1">
      <alignment vertical="top" wrapText="1"/>
    </xf>
    <xf numFmtId="3" fontId="42" fillId="0" borderId="13" xfId="0" applyNumberFormat="1" applyFont="1" applyFill="1" applyBorder="1" applyAlignment="1">
      <alignment horizontal="right" vertical="top" wrapText="1"/>
    </xf>
    <xf numFmtId="195" fontId="39" fillId="35" borderId="13" xfId="50" applyFont="1" applyFill="1" applyBorder="1" applyAlignment="1">
      <alignment vertical="top"/>
    </xf>
    <xf numFmtId="0" fontId="62" fillId="0" borderId="13" xfId="0" applyFont="1" applyFill="1" applyBorder="1" applyAlignment="1">
      <alignment vertical="top"/>
    </xf>
    <xf numFmtId="3" fontId="18" fillId="0" borderId="13" xfId="0" applyNumberFormat="1" applyFont="1" applyFill="1" applyBorder="1" applyAlignment="1">
      <alignment vertical="top"/>
    </xf>
    <xf numFmtId="0" fontId="39" fillId="35" borderId="13" xfId="0" applyFont="1" applyFill="1" applyBorder="1" applyAlignment="1">
      <alignment horizontal="justify" vertical="top" wrapText="1" readingOrder="1"/>
    </xf>
    <xf numFmtId="0" fontId="18" fillId="35" borderId="13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3" fontId="39" fillId="0" borderId="13" xfId="0" applyNumberFormat="1" applyFont="1" applyFill="1" applyBorder="1" applyAlignment="1">
      <alignment horizontal="right" vertical="top" wrapText="1"/>
    </xf>
    <xf numFmtId="0" fontId="39" fillId="35" borderId="13" xfId="0" applyFont="1" applyFill="1" applyBorder="1" applyAlignment="1">
      <alignment horizontal="justify" wrapText="1" readingOrder="1"/>
    </xf>
    <xf numFmtId="0" fontId="39" fillId="35" borderId="13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horizontal="left" vertical="top" wrapText="1" readingOrder="1"/>
    </xf>
    <xf numFmtId="0" fontId="18" fillId="35" borderId="13" xfId="0" applyFont="1" applyFill="1" applyBorder="1" applyAlignment="1">
      <alignment horizontal="left" vertical="top" wrapText="1"/>
    </xf>
    <xf numFmtId="49" fontId="39" fillId="35" borderId="13" xfId="0" applyNumberFormat="1" applyFont="1" applyFill="1" applyBorder="1" applyAlignment="1">
      <alignment horizontal="left" vertical="top" wrapText="1"/>
    </xf>
    <xf numFmtId="0" fontId="39" fillId="35" borderId="13" xfId="0" applyFont="1" applyFill="1" applyBorder="1" applyAlignment="1">
      <alignment horizontal="left" vertical="top" wrapText="1"/>
    </xf>
    <xf numFmtId="3" fontId="40" fillId="0" borderId="0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Alignment="1">
      <alignment/>
    </xf>
    <xf numFmtId="0" fontId="18" fillId="35" borderId="13" xfId="0" applyFont="1" applyFill="1" applyBorder="1" applyAlignment="1">
      <alignment vertical="center"/>
    </xf>
    <xf numFmtId="0" fontId="18" fillId="35" borderId="13" xfId="0" applyFont="1" applyFill="1" applyBorder="1" applyAlignment="1">
      <alignment horizontal="left" vertical="top"/>
    </xf>
    <xf numFmtId="3" fontId="39" fillId="35" borderId="13" xfId="0" applyNumberFormat="1" applyFont="1" applyFill="1" applyBorder="1" applyAlignment="1">
      <alignment vertical="top" wrapText="1"/>
    </xf>
    <xf numFmtId="0" fontId="18" fillId="35" borderId="13" xfId="0" applyFont="1" applyFill="1" applyBorder="1" applyAlignment="1">
      <alignment horizontal="justify" vertical="top" wrapText="1" readingOrder="1"/>
    </xf>
    <xf numFmtId="3" fontId="18" fillId="35" borderId="13" xfId="0" applyNumberFormat="1" applyFont="1" applyFill="1" applyBorder="1" applyAlignment="1">
      <alignment vertical="top" wrapText="1"/>
    </xf>
    <xf numFmtId="3" fontId="39" fillId="35" borderId="13" xfId="0" applyNumberFormat="1" applyFont="1" applyFill="1" applyBorder="1" applyAlignment="1">
      <alignment horizontal="right" vertical="top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left" vertical="top" wrapText="1" readingOrder="1"/>
    </xf>
    <xf numFmtId="0" fontId="18" fillId="35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justify" vertical="top" wrapText="1"/>
    </xf>
    <xf numFmtId="0" fontId="18" fillId="35" borderId="13" xfId="0" applyFont="1" applyFill="1" applyBorder="1" applyAlignment="1">
      <alignment vertical="top"/>
    </xf>
    <xf numFmtId="0" fontId="18" fillId="35" borderId="13" xfId="0" applyFont="1" applyFill="1" applyBorder="1" applyAlignment="1">
      <alignment horizontal="justify" wrapText="1" readingOrder="1"/>
    </xf>
    <xf numFmtId="3" fontId="18" fillId="35" borderId="13" xfId="0" applyNumberFormat="1" applyFont="1" applyFill="1" applyBorder="1" applyAlignment="1">
      <alignment vertical="top"/>
    </xf>
    <xf numFmtId="3" fontId="42" fillId="35" borderId="13" xfId="0" applyNumberFormat="1" applyFont="1" applyFill="1" applyBorder="1" applyAlignment="1">
      <alignment vertical="top" wrapText="1"/>
    </xf>
    <xf numFmtId="3" fontId="58" fillId="35" borderId="13" xfId="0" applyNumberFormat="1" applyFont="1" applyFill="1" applyBorder="1" applyAlignment="1">
      <alignment vertical="top" wrapText="1"/>
    </xf>
    <xf numFmtId="0" fontId="39" fillId="35" borderId="13" xfId="0" applyFont="1" applyFill="1" applyBorder="1" applyAlignment="1">
      <alignment horizontal="justify" vertical="top" readingOrder="1"/>
    </xf>
    <xf numFmtId="0" fontId="18" fillId="35" borderId="13" xfId="0" applyFont="1" applyFill="1" applyBorder="1" applyAlignment="1">
      <alignment horizontal="justify" vertical="top" readingOrder="1"/>
    </xf>
    <xf numFmtId="0" fontId="18" fillId="35" borderId="13" xfId="0" applyFont="1" applyFill="1" applyBorder="1" applyAlignment="1">
      <alignment horizontal="left" vertical="center" wrapText="1"/>
    </xf>
    <xf numFmtId="3" fontId="18" fillId="35" borderId="13" xfId="0" applyNumberFormat="1" applyFont="1" applyFill="1" applyBorder="1" applyAlignment="1">
      <alignment horizontal="right" vertical="top" wrapText="1"/>
    </xf>
    <xf numFmtId="0" fontId="18" fillId="35" borderId="13" xfId="0" applyFont="1" applyFill="1" applyBorder="1" applyAlignment="1">
      <alignment vertical="top"/>
    </xf>
    <xf numFmtId="3" fontId="39" fillId="35" borderId="13" xfId="55" applyNumberFormat="1" applyFont="1" applyFill="1" applyBorder="1" applyAlignment="1">
      <alignment vertical="top"/>
      <protection/>
    </xf>
    <xf numFmtId="3" fontId="39" fillId="35" borderId="13" xfId="0" applyNumberFormat="1" applyFont="1" applyFill="1" applyBorder="1" applyAlignment="1">
      <alignment vertical="top"/>
    </xf>
    <xf numFmtId="3" fontId="18" fillId="35" borderId="13" xfId="55" applyNumberFormat="1" applyFont="1" applyFill="1" applyBorder="1" applyAlignment="1">
      <alignment vertical="top"/>
      <protection/>
    </xf>
    <xf numFmtId="0" fontId="58" fillId="35" borderId="13" xfId="0" applyFont="1" applyFill="1" applyBorder="1" applyAlignment="1">
      <alignment horizontal="justify" vertical="top" wrapText="1" readingOrder="1"/>
    </xf>
    <xf numFmtId="0" fontId="1" fillId="35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3" fontId="18" fillId="35" borderId="13" xfId="0" applyNumberFormat="1" applyFont="1" applyFill="1" applyBorder="1" applyAlignment="1">
      <alignment horizontal="right" vertical="top"/>
    </xf>
    <xf numFmtId="3" fontId="18" fillId="35" borderId="13" xfId="50" applyNumberFormat="1" applyFont="1" applyFill="1" applyBorder="1" applyAlignment="1">
      <alignment vertical="top"/>
    </xf>
    <xf numFmtId="0" fontId="39" fillId="35" borderId="13" xfId="0" applyFont="1" applyFill="1" applyBorder="1" applyAlignment="1" applyProtection="1">
      <alignment vertical="top"/>
      <protection/>
    </xf>
    <xf numFmtId="0" fontId="18" fillId="35" borderId="13" xfId="0" applyFont="1" applyFill="1" applyBorder="1" applyAlignment="1" applyProtection="1">
      <alignment vertical="top" wrapText="1"/>
      <protection/>
    </xf>
    <xf numFmtId="3" fontId="18" fillId="35" borderId="0" xfId="0" applyNumberFormat="1" applyFont="1" applyFill="1" applyBorder="1" applyAlignment="1">
      <alignment vertical="top" wrapText="1"/>
    </xf>
    <xf numFmtId="3" fontId="39" fillId="35" borderId="0" xfId="0" applyNumberFormat="1" applyFont="1" applyFill="1" applyBorder="1" applyAlignment="1">
      <alignment vertical="top" wrapText="1"/>
    </xf>
    <xf numFmtId="3" fontId="39" fillId="35" borderId="0" xfId="55" applyNumberFormat="1" applyFont="1" applyFill="1" applyBorder="1" applyAlignment="1">
      <alignment vertical="top"/>
      <protection/>
    </xf>
    <xf numFmtId="3" fontId="39" fillId="35" borderId="0" xfId="0" applyNumberFormat="1" applyFont="1" applyFill="1" applyBorder="1" applyAlignment="1">
      <alignment vertical="top"/>
    </xf>
    <xf numFmtId="3" fontId="18" fillId="35" borderId="0" xfId="55" applyNumberFormat="1" applyFont="1" applyFill="1" applyBorder="1" applyAlignment="1">
      <alignment vertical="top"/>
      <protection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center"/>
    </xf>
    <xf numFmtId="10" fontId="1" fillId="35" borderId="0" xfId="57" applyNumberFormat="1" applyFont="1" applyFill="1" applyBorder="1" applyAlignment="1">
      <alignment/>
    </xf>
    <xf numFmtId="10" fontId="1" fillId="0" borderId="0" xfId="57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 vertical="top" wrapText="1"/>
    </xf>
    <xf numFmtId="0" fontId="39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8" fillId="0" borderId="13" xfId="0" applyNumberFormat="1" applyFont="1" applyFill="1" applyBorder="1" applyAlignment="1">
      <alignment vertical="top" wrapText="1"/>
    </xf>
    <xf numFmtId="3" fontId="18" fillId="0" borderId="13" xfId="0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0" fillId="37" borderId="27" xfId="55" applyFont="1" applyFill="1" applyBorder="1" applyAlignment="1" applyProtection="1">
      <alignment horizontal="center" vertical="center"/>
      <protection/>
    </xf>
    <xf numFmtId="0" fontId="14" fillId="0" borderId="13" xfId="55" applyFont="1" applyBorder="1" applyAlignment="1">
      <alignment horizontal="center" vertical="center" wrapText="1"/>
      <protection/>
    </xf>
    <xf numFmtId="37" fontId="14" fillId="39" borderId="13" xfId="55" applyNumberFormat="1" applyFont="1" applyFill="1" applyBorder="1" applyAlignment="1" applyProtection="1">
      <alignment horizontal="center" vertical="center" wrapText="1"/>
      <protection/>
    </xf>
    <xf numFmtId="37" fontId="14" fillId="0" borderId="13" xfId="55" applyNumberFormat="1" applyFont="1" applyBorder="1" applyAlignment="1" applyProtection="1">
      <alignment horizontal="center" vertical="center"/>
      <protection/>
    </xf>
    <xf numFmtId="37" fontId="1" fillId="41" borderId="52" xfId="55" applyNumberFormat="1" applyFont="1" applyFill="1" applyBorder="1" applyAlignment="1" applyProtection="1">
      <alignment horizontal="center" vertical="center" wrapText="1"/>
      <protection/>
    </xf>
    <xf numFmtId="37" fontId="1" fillId="41" borderId="53" xfId="55" applyNumberFormat="1" applyFont="1" applyFill="1" applyBorder="1" applyAlignment="1" applyProtection="1">
      <alignment horizontal="center" vertical="center" wrapText="1"/>
      <protection/>
    </xf>
    <xf numFmtId="37" fontId="1" fillId="41" borderId="54" xfId="55" applyNumberFormat="1" applyFont="1" applyFill="1" applyBorder="1" applyAlignment="1" applyProtection="1">
      <alignment horizontal="center" vertical="center" wrapText="1"/>
      <protection/>
    </xf>
    <xf numFmtId="3" fontId="14" fillId="0" borderId="55" xfId="55" applyNumberFormat="1" applyFont="1" applyFill="1" applyBorder="1" applyAlignment="1" applyProtection="1">
      <alignment horizontal="center" vertical="center" wrapText="1"/>
      <protection/>
    </xf>
    <xf numFmtId="3" fontId="14" fillId="0" borderId="56" xfId="55" applyNumberFormat="1" applyFont="1" applyFill="1" applyBorder="1" applyAlignment="1" applyProtection="1">
      <alignment horizontal="center" vertical="center" wrapText="1"/>
      <protection/>
    </xf>
    <xf numFmtId="3" fontId="14" fillId="0" borderId="57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PLANTA 2007" xfId="55"/>
    <cellStyle name="Notas" xfId="56"/>
    <cellStyle name="Percent" xfId="57"/>
    <cellStyle name="Porcentual_PLANTA 2007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2"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96B5C6"/>
        </patternFill>
      </fill>
      <border/>
    </dxf>
    <dxf>
      <font>
        <b/>
        <i val="0"/>
        <color theme="0"/>
      </font>
      <fill>
        <patternFill>
          <bgColor rgb="FF8CABBB"/>
        </patternFill>
      </fill>
      <border/>
    </dxf>
    <dxf>
      <font>
        <b/>
        <i val="0"/>
        <color theme="0"/>
      </font>
      <fill>
        <patternFill>
          <bgColor rgb="FF82A1B1"/>
        </patternFill>
      </fill>
      <border/>
    </dxf>
    <dxf>
      <font>
        <b/>
        <i val="0"/>
        <color theme="0"/>
      </font>
      <fill>
        <patternFill>
          <bgColor rgb="FF7897A7"/>
        </patternFill>
      </fill>
      <border/>
    </dxf>
    <dxf>
      <font>
        <b/>
        <i val="0"/>
        <color theme="0"/>
      </font>
      <fill>
        <patternFill>
          <bgColor rgb="FF6F8D9D"/>
        </patternFill>
      </fill>
      <border/>
    </dxf>
    <dxf>
      <font>
        <b/>
        <i val="0"/>
        <color theme="0"/>
      </font>
      <fill>
        <patternFill>
          <bgColor rgb="FF65839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GUTIERREZ\Downloads\Users\ccruz\Downloads\Documents%20and%20Settings\Alexandra\Configuraci&#243;n%20local\Temp\Cuadros%20F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GUTIERREZ\Downloads\Users\ccruz\Downloads\Documents%20and%20Settings\USUARIO\Configuraci&#243;n%20local\Temp\Cuadros%20FO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GUTIERREZ\Downloads\Users\ccruz\Downloads\FORMATOS%20134%20134-3%20SALU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GUTIERREZ\Downloads\Users\ccruz\Downloads\Documents%20and%20Settings\CONTRALORIA\Mis%20documentos\EQUIPO%20HP%20PAVILION%20CDM-0273\USUARIO\REFORMULACION%20243-01\NUEVA%20RESOLUCION%20DE%20RENDICION%20CUENTA%202004\Cuadros%20F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M 104-1"/>
      <sheetName val="CDM 105-1E.EGR."/>
      <sheetName val="pac-106-2"/>
      <sheetName val="pac-106-3"/>
      <sheetName val="CDM-107- P.C EJ."/>
      <sheetName val="CDM-107 -1 P.C ej"/>
      <sheetName val="CDM 108-C.MER"/>
      <sheetName val="CDM-110-1 CONT."/>
      <sheetName val="CDM-112-3"/>
      <sheetName val="CDM 114BAL.ALM"/>
      <sheetName val="CDM 116 C.I. FOSES"/>
      <sheetName val="CDM-117-Op.Efec"/>
      <sheetName val="CDM 118-1-EJEC CV"/>
      <sheetName val="CDM 121-1 "/>
      <sheetName val="CDM 124 Cuentad"/>
      <sheetName val="CDM 125-CTAS BAN"/>
      <sheetName val="CDM 130.B.SOC"/>
      <sheetName val="CDM 131 CXP"/>
      <sheetName val="CDM 132Dep,P.P.E."/>
      <sheetName val="CDM 133 INDIC."/>
      <sheetName val="Hoja3"/>
      <sheetName val="Hoja2"/>
      <sheetName val="Hoja1"/>
      <sheetName val="#¡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M 104-1"/>
      <sheetName val="CDM 105-1E.EGR."/>
      <sheetName val="pac-106-2"/>
      <sheetName val="pac-106-3"/>
      <sheetName val="CDM-107- P.C EJ."/>
      <sheetName val="CDM-107 -1 P.C ej"/>
      <sheetName val="CDM 108-C.MER"/>
      <sheetName val="CDM-110-1 CONT."/>
      <sheetName val="CDM-112-3"/>
      <sheetName val="CDM 114BAL.ALM"/>
      <sheetName val="CDM 116 C.I. FOSES"/>
      <sheetName val="CDM-117-Op.Efec"/>
      <sheetName val="CDM 118-1-EJEC CV"/>
      <sheetName val="CDM 121-1 "/>
      <sheetName val="CDM 124 Cuentad"/>
      <sheetName val="CDM 125-CTAS BAN"/>
      <sheetName val="CDM 130.B.SOC"/>
      <sheetName val="CDM 131 CXP"/>
      <sheetName val="CDM 132Dep,P.P.E."/>
      <sheetName val="CDM 133 INDIC."/>
      <sheetName val="Hoja3"/>
      <sheetName val="Hoja2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M 134 SD"/>
      <sheetName val="CDM 134-1"/>
      <sheetName val="CDM 134-2"/>
      <sheetName val="CDM 134-3"/>
      <sheetName val="CDM 1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DM 104-1"/>
      <sheetName val="CDM 105-1E.EGR."/>
      <sheetName val="pac-106-2"/>
      <sheetName val="pac-106-3"/>
      <sheetName val="CDM-107- P.C EJ."/>
      <sheetName val="CDM-107 -1 P.C ej"/>
      <sheetName val="CDM 108-C.MER"/>
      <sheetName val="CDM-110-1 CONT."/>
      <sheetName val="CDM-112-3"/>
      <sheetName val="CDM 114BAL.ALM"/>
      <sheetName val="CDM 116 C.I. FOSES"/>
      <sheetName val="CDM-117-Op.Efec"/>
      <sheetName val="CDM 118-1-EJEC CV"/>
      <sheetName val="CDM 121-1 "/>
      <sheetName val="CDM 124 Cuentad"/>
      <sheetName val="CDM 125-CTAS BAN"/>
      <sheetName val="CDM 130.B.SOC"/>
      <sheetName val="CDM 131 CXP"/>
      <sheetName val="CDM 132Dep,P.P.E."/>
      <sheetName val="CDM 133 INDIC."/>
      <sheetName val="Hoja3"/>
      <sheetName val="Hoja2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99"/>
  <sheetViews>
    <sheetView zoomScale="132" zoomScaleNormal="132" zoomScalePageLayoutView="0" workbookViewId="0" topLeftCell="A7">
      <selection activeCell="D14" sqref="D14"/>
    </sheetView>
  </sheetViews>
  <sheetFormatPr defaultColWidth="11.421875" defaultRowHeight="18" customHeight="1"/>
  <cols>
    <col min="1" max="1" width="23.28125" style="3" customWidth="1"/>
    <col min="2" max="2" width="8.28125" style="3" customWidth="1"/>
    <col min="3" max="3" width="5.8515625" style="3" customWidth="1"/>
    <col min="4" max="4" width="64.00390625" style="3" customWidth="1"/>
    <col min="5" max="5" width="20.7109375" style="10" customWidth="1"/>
    <col min="6" max="6" width="12.7109375" style="3" bestFit="1" customWidth="1"/>
    <col min="7" max="7" width="14.140625" style="3" bestFit="1" customWidth="1"/>
    <col min="8" max="9" width="12.7109375" style="3" bestFit="1" customWidth="1"/>
    <col min="10" max="16384" width="11.421875" style="3" customWidth="1"/>
  </cols>
  <sheetData>
    <row r="1" spans="1:5" s="5" customFormat="1" ht="15.75">
      <c r="A1" s="260" t="s">
        <v>9</v>
      </c>
      <c r="B1" s="260"/>
      <c r="C1" s="260"/>
      <c r="D1" s="260"/>
      <c r="E1" s="260"/>
    </row>
    <row r="2" spans="1:5" s="5" customFormat="1" ht="15.75">
      <c r="A2" s="260" t="s">
        <v>153</v>
      </c>
      <c r="B2" s="260"/>
      <c r="C2" s="260"/>
      <c r="D2" s="260"/>
      <c r="E2" s="260"/>
    </row>
    <row r="3" spans="1:5" s="7" customFormat="1" ht="15.75">
      <c r="A3" s="261" t="s">
        <v>9</v>
      </c>
      <c r="B3" s="261"/>
      <c r="C3" s="261"/>
      <c r="D3" s="261"/>
      <c r="E3" s="261"/>
    </row>
    <row r="4" spans="1:7" s="6" customFormat="1" ht="18" customHeight="1">
      <c r="A4" s="262" t="s">
        <v>8</v>
      </c>
      <c r="B4" s="262"/>
      <c r="C4" s="262"/>
      <c r="D4" s="262"/>
      <c r="E4" s="262" t="s">
        <v>10</v>
      </c>
      <c r="F4" s="239"/>
      <c r="G4" s="27"/>
    </row>
    <row r="5" spans="1:7" s="8" customFormat="1" ht="15">
      <c r="A5" s="221" t="s">
        <v>0</v>
      </c>
      <c r="B5" s="221" t="s">
        <v>72</v>
      </c>
      <c r="C5" s="221" t="s">
        <v>73</v>
      </c>
      <c r="D5" s="221" t="s">
        <v>1</v>
      </c>
      <c r="E5" s="262"/>
      <c r="F5" s="240"/>
      <c r="G5" s="28"/>
    </row>
    <row r="6" spans="1:7" s="8" customFormat="1" ht="15">
      <c r="A6" s="232">
        <v>2</v>
      </c>
      <c r="B6" s="221">
        <v>1</v>
      </c>
      <c r="C6" s="221" t="s">
        <v>74</v>
      </c>
      <c r="D6" s="210" t="s">
        <v>8</v>
      </c>
      <c r="E6" s="233" t="e">
        <f>+E7+E89</f>
        <v>#REF!</v>
      </c>
      <c r="F6" s="252"/>
      <c r="G6" s="66"/>
    </row>
    <row r="7" spans="1:7" s="2" customFormat="1" ht="13.5" customHeight="1">
      <c r="A7" s="216" t="s">
        <v>304</v>
      </c>
      <c r="B7" s="223">
        <v>2</v>
      </c>
      <c r="C7" s="223" t="s">
        <v>74</v>
      </c>
      <c r="D7" s="218" t="s">
        <v>2</v>
      </c>
      <c r="E7" s="219" t="e">
        <f>+E8+E30+E73+E81</f>
        <v>#REF!</v>
      </c>
      <c r="F7" s="253"/>
      <c r="G7" s="213" t="e">
        <f>'PTO INGRESOS'!#REF!-'PTO GASTOS 2022 '!E6</f>
        <v>#REF!</v>
      </c>
    </row>
    <row r="8" spans="1:9" ht="14.25" customHeight="1">
      <c r="A8" s="234" t="s">
        <v>305</v>
      </c>
      <c r="B8" s="223">
        <v>3</v>
      </c>
      <c r="C8" s="223" t="s">
        <v>74</v>
      </c>
      <c r="D8" s="218" t="s">
        <v>3</v>
      </c>
      <c r="E8" s="219" t="e">
        <f>E9</f>
        <v>#REF!</v>
      </c>
      <c r="F8" s="245"/>
      <c r="G8" s="66"/>
      <c r="H8" s="9"/>
      <c r="I8" s="9"/>
    </row>
    <row r="9" spans="1:8" s="2" customFormat="1" ht="14.25" customHeight="1">
      <c r="A9" s="225" t="s">
        <v>12</v>
      </c>
      <c r="B9" s="223">
        <v>4</v>
      </c>
      <c r="C9" s="223" t="s">
        <v>74</v>
      </c>
      <c r="D9" s="218" t="s">
        <v>57</v>
      </c>
      <c r="E9" s="219" t="e">
        <f>E10+E18+E26</f>
        <v>#REF!</v>
      </c>
      <c r="F9" s="245"/>
      <c r="G9" s="31"/>
      <c r="H9" s="16"/>
    </row>
    <row r="10" spans="1:8" s="2" customFormat="1" ht="14.25" customHeight="1">
      <c r="A10" s="188" t="s">
        <v>13</v>
      </c>
      <c r="B10" s="189">
        <v>5</v>
      </c>
      <c r="C10" s="189" t="s">
        <v>74</v>
      </c>
      <c r="D10" s="218" t="s">
        <v>58</v>
      </c>
      <c r="E10" s="219">
        <f>E11</f>
        <v>944691692.8891783</v>
      </c>
      <c r="F10" s="245"/>
      <c r="G10" s="29"/>
      <c r="H10" s="3"/>
    </row>
    <row r="11" spans="1:10" s="2" customFormat="1" ht="14.25" customHeight="1">
      <c r="A11" s="188" t="s">
        <v>14</v>
      </c>
      <c r="B11" s="189">
        <v>6</v>
      </c>
      <c r="C11" s="189" t="s">
        <v>74</v>
      </c>
      <c r="D11" s="218" t="s">
        <v>59</v>
      </c>
      <c r="E11" s="217">
        <f>E12+E13+E14+E15</f>
        <v>944691692.8891783</v>
      </c>
      <c r="F11" s="246"/>
      <c r="G11" s="29"/>
      <c r="H11" s="3"/>
      <c r="I11" s="16"/>
      <c r="J11" s="16"/>
    </row>
    <row r="12" spans="1:10" ht="14.25" customHeight="1">
      <c r="A12" s="188" t="s">
        <v>15</v>
      </c>
      <c r="B12" s="189">
        <v>7</v>
      </c>
      <c r="C12" s="189" t="s">
        <v>75</v>
      </c>
      <c r="D12" s="203" t="s">
        <v>16</v>
      </c>
      <c r="E12" s="235">
        <f>'PROYECCION SALARIOS '!AH21</f>
        <v>780880800</v>
      </c>
      <c r="F12" s="247"/>
      <c r="G12" s="31"/>
      <c r="H12" s="9"/>
      <c r="I12" s="9"/>
      <c r="J12" s="9"/>
    </row>
    <row r="13" spans="1:10" ht="14.25" customHeight="1">
      <c r="A13" s="188" t="s">
        <v>17</v>
      </c>
      <c r="B13" s="189">
        <v>7</v>
      </c>
      <c r="C13" s="189" t="s">
        <v>75</v>
      </c>
      <c r="D13" s="203" t="s">
        <v>6</v>
      </c>
      <c r="E13" s="236">
        <f>'PROYECCION SALARIOS '!AL21</f>
        <v>33485687.083333336</v>
      </c>
      <c r="F13" s="248"/>
      <c r="G13" s="31"/>
      <c r="H13" s="9"/>
      <c r="J13" s="9"/>
    </row>
    <row r="14" spans="1:7" ht="14.25" customHeight="1">
      <c r="A14" s="188" t="s">
        <v>18</v>
      </c>
      <c r="B14" s="189">
        <v>7</v>
      </c>
      <c r="C14" s="189" t="s">
        <v>75</v>
      </c>
      <c r="D14" s="203" t="s">
        <v>4</v>
      </c>
      <c r="E14" s="235">
        <f>'PROYECCION SALARIOS '!AM21</f>
        <v>22775690</v>
      </c>
      <c r="F14" s="247"/>
      <c r="G14" s="1"/>
    </row>
    <row r="15" spans="1:7" ht="14.25" customHeight="1">
      <c r="A15" s="188" t="s">
        <v>19</v>
      </c>
      <c r="B15" s="189">
        <v>7</v>
      </c>
      <c r="C15" s="189" t="s">
        <v>74</v>
      </c>
      <c r="D15" s="218" t="s">
        <v>20</v>
      </c>
      <c r="E15" s="237">
        <f>E16+E17</f>
        <v>107549515.80584493</v>
      </c>
      <c r="F15" s="249"/>
      <c r="G15" s="1"/>
    </row>
    <row r="16" spans="1:7" ht="14.25" customHeight="1">
      <c r="A16" s="188" t="s">
        <v>21</v>
      </c>
      <c r="B16" s="189">
        <v>8</v>
      </c>
      <c r="C16" s="189" t="s">
        <v>75</v>
      </c>
      <c r="D16" s="203" t="s">
        <v>5</v>
      </c>
      <c r="E16" s="235">
        <f>'PROYECCION SALARIOS '!AK21</f>
        <v>72668591.76070604</v>
      </c>
      <c r="F16" s="247"/>
      <c r="G16" s="31"/>
    </row>
    <row r="17" spans="1:7" ht="14.25" customHeight="1">
      <c r="A17" s="188" t="s">
        <v>22</v>
      </c>
      <c r="B17" s="189">
        <v>8</v>
      </c>
      <c r="C17" s="189" t="s">
        <v>75</v>
      </c>
      <c r="D17" s="203" t="s">
        <v>7</v>
      </c>
      <c r="E17" s="236">
        <f>'PROYECCION SALARIOS '!AJ21</f>
        <v>34880924.04513889</v>
      </c>
      <c r="F17" s="248"/>
      <c r="G17" s="31"/>
    </row>
    <row r="18" spans="1:7" ht="14.25" customHeight="1">
      <c r="A18" s="188" t="s">
        <v>23</v>
      </c>
      <c r="B18" s="189">
        <v>5</v>
      </c>
      <c r="C18" s="189" t="s">
        <v>74</v>
      </c>
      <c r="D18" s="238" t="s">
        <v>67</v>
      </c>
      <c r="E18" s="235" t="e">
        <f>E19+E20+E21+E22+E23+E24+E25</f>
        <v>#REF!</v>
      </c>
      <c r="F18" s="247"/>
      <c r="G18" s="1"/>
    </row>
    <row r="19" spans="1:9" ht="14.25" customHeight="1">
      <c r="A19" s="188" t="s">
        <v>95</v>
      </c>
      <c r="B19" s="189">
        <v>6</v>
      </c>
      <c r="C19" s="189" t="s">
        <v>75</v>
      </c>
      <c r="D19" s="203" t="s">
        <v>24</v>
      </c>
      <c r="E19" s="235" t="e">
        <f>'PROYECCION SALARIOS '!#REF!</f>
        <v>#REF!</v>
      </c>
      <c r="F19" s="247"/>
      <c r="G19" s="31"/>
      <c r="I19" s="19"/>
    </row>
    <row r="20" spans="1:7" ht="14.25" customHeight="1">
      <c r="A20" s="188" t="s">
        <v>31</v>
      </c>
      <c r="B20" s="189">
        <v>6</v>
      </c>
      <c r="C20" s="189" t="s">
        <v>75</v>
      </c>
      <c r="D20" s="203" t="s">
        <v>25</v>
      </c>
      <c r="E20" s="235" t="e">
        <f>'PROYECCION SALARIOS '!#REF!</f>
        <v>#REF!</v>
      </c>
      <c r="F20" s="247"/>
      <c r="G20" s="31"/>
    </row>
    <row r="21" spans="1:7" ht="14.25" customHeight="1">
      <c r="A21" s="188" t="s">
        <v>32</v>
      </c>
      <c r="B21" s="189">
        <v>6</v>
      </c>
      <c r="C21" s="189" t="s">
        <v>75</v>
      </c>
      <c r="D21" s="203" t="s">
        <v>26</v>
      </c>
      <c r="E21" s="235">
        <f>'PROYECCION SALARIOS '!AN21</f>
        <v>75933833.81715375</v>
      </c>
      <c r="F21" s="247"/>
      <c r="G21" s="31"/>
    </row>
    <row r="22" spans="1:7" ht="14.25" customHeight="1">
      <c r="A22" s="188" t="s">
        <v>33</v>
      </c>
      <c r="B22" s="189">
        <v>6</v>
      </c>
      <c r="C22" s="189" t="s">
        <v>75</v>
      </c>
      <c r="D22" s="203" t="s">
        <v>27</v>
      </c>
      <c r="E22" s="235" t="e">
        <f>'PROYECCION SALARIOS '!#REF!</f>
        <v>#REF!</v>
      </c>
      <c r="F22" s="247"/>
      <c r="G22" s="31"/>
    </row>
    <row r="23" spans="1:7" ht="14.25" customHeight="1">
      <c r="A23" s="188" t="s">
        <v>34</v>
      </c>
      <c r="B23" s="189">
        <v>6</v>
      </c>
      <c r="C23" s="189" t="s">
        <v>75</v>
      </c>
      <c r="D23" s="203" t="s">
        <v>28</v>
      </c>
      <c r="E23" s="235" t="e">
        <f>'PROYECCION SALARIOS '!#REF!</f>
        <v>#REF!</v>
      </c>
      <c r="F23" s="247"/>
      <c r="G23" s="31"/>
    </row>
    <row r="24" spans="1:7" ht="14.25" customHeight="1">
      <c r="A24" s="188" t="s">
        <v>35</v>
      </c>
      <c r="B24" s="189">
        <v>6</v>
      </c>
      <c r="C24" s="189" t="s">
        <v>75</v>
      </c>
      <c r="D24" s="203" t="s">
        <v>29</v>
      </c>
      <c r="E24" s="235" t="e">
        <f>'PROYECCION SALARIOS '!#REF!</f>
        <v>#REF!</v>
      </c>
      <c r="F24" s="247"/>
      <c r="G24" s="31"/>
    </row>
    <row r="25" spans="1:7" ht="14.25" customHeight="1">
      <c r="A25" s="188" t="s">
        <v>36</v>
      </c>
      <c r="B25" s="189">
        <v>6</v>
      </c>
      <c r="C25" s="189" t="s">
        <v>75</v>
      </c>
      <c r="D25" s="203" t="s">
        <v>30</v>
      </c>
      <c r="E25" s="235" t="e">
        <f>'PROYECCION SALARIOS '!#REF!</f>
        <v>#REF!</v>
      </c>
      <c r="F25" s="247"/>
      <c r="G25" s="31"/>
    </row>
    <row r="26" spans="1:7" ht="14.25" customHeight="1">
      <c r="A26" s="188" t="s">
        <v>38</v>
      </c>
      <c r="B26" s="189">
        <v>5</v>
      </c>
      <c r="C26" s="189" t="s">
        <v>74</v>
      </c>
      <c r="D26" s="218" t="s">
        <v>60</v>
      </c>
      <c r="E26" s="237" t="e">
        <f>E27</f>
        <v>#REF!</v>
      </c>
      <c r="F26" s="249"/>
      <c r="G26" s="1"/>
    </row>
    <row r="27" spans="1:7" ht="14.25" customHeight="1">
      <c r="A27" s="188" t="s">
        <v>39</v>
      </c>
      <c r="B27" s="189">
        <v>6</v>
      </c>
      <c r="C27" s="189" t="s">
        <v>74</v>
      </c>
      <c r="D27" s="218" t="s">
        <v>11</v>
      </c>
      <c r="E27" s="235" t="e">
        <f>E28+E29</f>
        <v>#REF!</v>
      </c>
      <c r="F27" s="247"/>
      <c r="G27" s="1"/>
    </row>
    <row r="28" spans="1:7" ht="14.25" customHeight="1">
      <c r="A28" s="188" t="s">
        <v>40</v>
      </c>
      <c r="B28" s="189">
        <v>7</v>
      </c>
      <c r="C28" s="189" t="s">
        <v>75</v>
      </c>
      <c r="D28" s="203" t="s">
        <v>42</v>
      </c>
      <c r="E28" s="235">
        <v>50000000</v>
      </c>
      <c r="F28" s="247"/>
      <c r="G28" s="31"/>
    </row>
    <row r="29" spans="1:7" ht="14.25" customHeight="1">
      <c r="A29" s="188" t="s">
        <v>41</v>
      </c>
      <c r="B29" s="189">
        <v>7</v>
      </c>
      <c r="C29" s="189" t="s">
        <v>75</v>
      </c>
      <c r="D29" s="203" t="s">
        <v>37</v>
      </c>
      <c r="E29" s="235" t="e">
        <f>'PROYECCION SALARIOS '!#REF!</f>
        <v>#REF!</v>
      </c>
      <c r="F29" s="247"/>
      <c r="G29" s="31"/>
    </row>
    <row r="30" spans="1:9" ht="15" customHeight="1">
      <c r="A30" s="225" t="s">
        <v>70</v>
      </c>
      <c r="B30" s="189">
        <v>3</v>
      </c>
      <c r="C30" s="189" t="s">
        <v>74</v>
      </c>
      <c r="D30" s="218" t="s">
        <v>61</v>
      </c>
      <c r="E30" s="241">
        <f>+E31+E40</f>
        <v>1191700000</v>
      </c>
      <c r="F30" s="250"/>
      <c r="G30" s="32"/>
      <c r="H30" s="4"/>
      <c r="I30" s="9"/>
    </row>
    <row r="31" spans="1:7" s="1" customFormat="1" ht="14.25" customHeight="1">
      <c r="A31" s="225" t="s">
        <v>71</v>
      </c>
      <c r="B31" s="189">
        <v>4</v>
      </c>
      <c r="C31" s="189" t="s">
        <v>74</v>
      </c>
      <c r="D31" s="218" t="s">
        <v>62</v>
      </c>
      <c r="E31" s="242">
        <f>E32</f>
        <v>120000000</v>
      </c>
      <c r="F31" s="250"/>
      <c r="G31" s="15"/>
    </row>
    <row r="32" spans="1:7" s="1" customFormat="1" ht="14.25" customHeight="1">
      <c r="A32" s="188" t="s">
        <v>76</v>
      </c>
      <c r="B32" s="189">
        <v>5</v>
      </c>
      <c r="C32" s="189" t="s">
        <v>74</v>
      </c>
      <c r="D32" s="203" t="s">
        <v>63</v>
      </c>
      <c r="E32" s="242">
        <f>E33+E36</f>
        <v>120000000</v>
      </c>
      <c r="F32" s="250"/>
      <c r="G32" s="15"/>
    </row>
    <row r="33" spans="1:8" s="1" customFormat="1" ht="14.25" customHeight="1">
      <c r="A33" s="188" t="s">
        <v>48</v>
      </c>
      <c r="B33" s="189">
        <v>6</v>
      </c>
      <c r="C33" s="189" t="s">
        <v>74</v>
      </c>
      <c r="D33" s="203" t="s">
        <v>92</v>
      </c>
      <c r="E33" s="219">
        <f>E34</f>
        <v>50000000</v>
      </c>
      <c r="F33" s="250"/>
      <c r="G33" s="32"/>
      <c r="H33" s="20"/>
    </row>
    <row r="34" spans="1:8" s="1" customFormat="1" ht="14.25" customHeight="1">
      <c r="A34" s="188" t="s">
        <v>93</v>
      </c>
      <c r="B34" s="189">
        <v>7</v>
      </c>
      <c r="C34" s="189" t="s">
        <v>74</v>
      </c>
      <c r="D34" s="190" t="s">
        <v>94</v>
      </c>
      <c r="E34" s="219">
        <f>E35</f>
        <v>50000000</v>
      </c>
      <c r="F34" s="250"/>
      <c r="G34" s="21"/>
      <c r="H34" s="20"/>
    </row>
    <row r="35" spans="1:8" s="1" customFormat="1" ht="14.25" customHeight="1">
      <c r="A35" s="188" t="s">
        <v>77</v>
      </c>
      <c r="B35" s="189">
        <v>8</v>
      </c>
      <c r="C35" s="189" t="s">
        <v>75</v>
      </c>
      <c r="D35" s="243" t="s">
        <v>78</v>
      </c>
      <c r="E35" s="217">
        <v>50000000</v>
      </c>
      <c r="F35" s="250"/>
      <c r="G35" s="32"/>
      <c r="H35" s="20"/>
    </row>
    <row r="36" spans="1:8" s="1" customFormat="1" ht="14.25" customHeight="1">
      <c r="A36" s="188" t="s">
        <v>306</v>
      </c>
      <c r="B36" s="189">
        <v>6</v>
      </c>
      <c r="C36" s="189" t="s">
        <v>74</v>
      </c>
      <c r="D36" s="191" t="s">
        <v>112</v>
      </c>
      <c r="E36" s="219">
        <f>+E37</f>
        <v>70000000</v>
      </c>
      <c r="F36" s="250"/>
      <c r="G36" s="21"/>
      <c r="H36" s="20"/>
    </row>
    <row r="37" spans="1:10" s="1" customFormat="1" ht="17.25" customHeight="1">
      <c r="A37" s="188" t="s">
        <v>307</v>
      </c>
      <c r="B37" s="189">
        <v>7</v>
      </c>
      <c r="C37" s="189" t="s">
        <v>74</v>
      </c>
      <c r="D37" s="203" t="s">
        <v>96</v>
      </c>
      <c r="E37" s="241">
        <f>+E38</f>
        <v>70000000</v>
      </c>
      <c r="F37" s="250"/>
      <c r="G37" s="32"/>
      <c r="H37" s="20"/>
      <c r="I37" s="11"/>
      <c r="J37" s="12"/>
    </row>
    <row r="38" spans="1:10" s="1" customFormat="1" ht="14.25" customHeight="1">
      <c r="A38" s="188" t="s">
        <v>113</v>
      </c>
      <c r="B38" s="189">
        <v>8</v>
      </c>
      <c r="C38" s="189" t="s">
        <v>74</v>
      </c>
      <c r="D38" s="203" t="s">
        <v>114</v>
      </c>
      <c r="E38" s="241">
        <f>+E39</f>
        <v>70000000</v>
      </c>
      <c r="F38" s="250"/>
      <c r="G38" s="32"/>
      <c r="H38" s="20"/>
      <c r="I38" s="34"/>
      <c r="J38" s="34"/>
    </row>
    <row r="39" spans="1:10" s="1" customFormat="1" ht="14.25" customHeight="1">
      <c r="A39" s="188" t="s">
        <v>115</v>
      </c>
      <c r="B39" s="189">
        <v>9</v>
      </c>
      <c r="C39" s="189" t="s">
        <v>75</v>
      </c>
      <c r="D39" s="203" t="s">
        <v>196</v>
      </c>
      <c r="E39" s="220">
        <v>70000000</v>
      </c>
      <c r="F39" s="250"/>
      <c r="G39" s="32"/>
      <c r="H39" s="20"/>
      <c r="I39" s="34"/>
      <c r="J39" s="34"/>
    </row>
    <row r="40" spans="1:7" s="1" customFormat="1" ht="14.25" customHeight="1">
      <c r="A40" s="225" t="s">
        <v>308</v>
      </c>
      <c r="B40" s="223">
        <v>4</v>
      </c>
      <c r="C40" s="223" t="s">
        <v>74</v>
      </c>
      <c r="D40" s="218" t="s">
        <v>64</v>
      </c>
      <c r="E40" s="219">
        <f>+E41+E47</f>
        <v>1071700000</v>
      </c>
      <c r="F40" s="250"/>
      <c r="G40" s="15"/>
    </row>
    <row r="41" spans="1:8" s="29" customFormat="1" ht="14.25" customHeight="1">
      <c r="A41" s="225" t="s">
        <v>49</v>
      </c>
      <c r="B41" s="223">
        <v>5</v>
      </c>
      <c r="C41" s="223" t="s">
        <v>74</v>
      </c>
      <c r="D41" s="218" t="s">
        <v>101</v>
      </c>
      <c r="E41" s="229">
        <f>+E42+E44+E46</f>
        <v>85000000</v>
      </c>
      <c r="F41" s="251"/>
      <c r="G41" s="33"/>
      <c r="H41" s="22"/>
    </row>
    <row r="42" spans="1:8" s="1" customFormat="1" ht="29.25" customHeight="1">
      <c r="A42" s="188" t="s">
        <v>83</v>
      </c>
      <c r="B42" s="189">
        <v>6</v>
      </c>
      <c r="C42" s="189" t="s">
        <v>75</v>
      </c>
      <c r="D42" s="244" t="s">
        <v>102</v>
      </c>
      <c r="E42" s="228">
        <f>E43</f>
        <v>30000000</v>
      </c>
      <c r="F42" s="250"/>
      <c r="G42" s="32"/>
      <c r="H42" s="22"/>
    </row>
    <row r="43" spans="1:8" s="1" customFormat="1" ht="29.25" customHeight="1">
      <c r="A43" s="188" t="s">
        <v>203</v>
      </c>
      <c r="B43" s="185">
        <v>6</v>
      </c>
      <c r="C43" s="185" t="s">
        <v>75</v>
      </c>
      <c r="D43" s="196" t="s">
        <v>309</v>
      </c>
      <c r="E43" s="195">
        <v>30000000</v>
      </c>
      <c r="F43" s="15"/>
      <c r="G43" s="32"/>
      <c r="H43" s="22"/>
    </row>
    <row r="44" spans="1:8" s="1" customFormat="1" ht="30.75" customHeight="1">
      <c r="A44" s="188" t="s">
        <v>310</v>
      </c>
      <c r="B44" s="185">
        <v>6</v>
      </c>
      <c r="C44" s="185" t="s">
        <v>75</v>
      </c>
      <c r="D44" s="194" t="s">
        <v>195</v>
      </c>
      <c r="E44" s="193">
        <f>E45</f>
        <v>45000000</v>
      </c>
      <c r="F44" s="15"/>
      <c r="G44" s="32"/>
      <c r="H44" s="22"/>
    </row>
    <row r="45" spans="1:8" s="1" customFormat="1" ht="24" customHeight="1">
      <c r="A45" s="188" t="s">
        <v>311</v>
      </c>
      <c r="B45" s="185">
        <v>6</v>
      </c>
      <c r="C45" s="185" t="s">
        <v>75</v>
      </c>
      <c r="D45" s="196" t="s">
        <v>204</v>
      </c>
      <c r="E45" s="195">
        <v>45000000</v>
      </c>
      <c r="F45" s="15"/>
      <c r="G45" s="32"/>
      <c r="H45" s="22"/>
    </row>
    <row r="46" spans="1:8" s="1" customFormat="1" ht="18.75" customHeight="1">
      <c r="A46" s="188" t="s">
        <v>79</v>
      </c>
      <c r="B46" s="185">
        <v>6</v>
      </c>
      <c r="C46" s="185" t="s">
        <v>75</v>
      </c>
      <c r="D46" s="187" t="s">
        <v>80</v>
      </c>
      <c r="E46" s="195">
        <v>10000000</v>
      </c>
      <c r="F46" s="15"/>
      <c r="G46" s="32"/>
      <c r="H46" s="22"/>
    </row>
    <row r="47" spans="1:8" s="1" customFormat="1" ht="14.25" customHeight="1">
      <c r="A47" s="225" t="s">
        <v>43</v>
      </c>
      <c r="B47" s="223">
        <v>5</v>
      </c>
      <c r="C47" s="223" t="s">
        <v>74</v>
      </c>
      <c r="D47" s="218" t="s">
        <v>103</v>
      </c>
      <c r="E47" s="219">
        <f>+E48+E50+E53+E56+E67+E72</f>
        <v>986700000</v>
      </c>
      <c r="F47" s="15"/>
      <c r="G47" s="21"/>
      <c r="H47" s="20"/>
    </row>
    <row r="48" spans="1:8" s="1" customFormat="1" ht="14.25" customHeight="1">
      <c r="A48" s="188" t="s">
        <v>91</v>
      </c>
      <c r="B48" s="189">
        <v>6</v>
      </c>
      <c r="C48" s="189" t="s">
        <v>75</v>
      </c>
      <c r="D48" s="218" t="s">
        <v>134</v>
      </c>
      <c r="E48" s="229">
        <f>+E49</f>
        <v>45000000</v>
      </c>
      <c r="F48" s="15"/>
      <c r="G48" s="21"/>
      <c r="H48" s="20"/>
    </row>
    <row r="49" spans="1:8" s="1" customFormat="1" ht="14.25" customHeight="1">
      <c r="A49" s="188" t="s">
        <v>133</v>
      </c>
      <c r="B49" s="189"/>
      <c r="C49" s="189"/>
      <c r="D49" s="230" t="s">
        <v>132</v>
      </c>
      <c r="E49" s="228">
        <v>45000000</v>
      </c>
      <c r="F49" s="15"/>
      <c r="G49" s="21"/>
      <c r="H49" s="20"/>
    </row>
    <row r="50" spans="1:7" s="1" customFormat="1" ht="29.25" customHeight="1">
      <c r="A50" s="188" t="s">
        <v>81</v>
      </c>
      <c r="B50" s="189">
        <v>6</v>
      </c>
      <c r="C50" s="189" t="s">
        <v>75</v>
      </c>
      <c r="D50" s="231" t="s">
        <v>104</v>
      </c>
      <c r="E50" s="229">
        <f>+E51+E52</f>
        <v>47000000</v>
      </c>
      <c r="F50" s="15"/>
      <c r="G50" s="25"/>
    </row>
    <row r="51" spans="1:9" s="1" customFormat="1" ht="19.5" customHeight="1">
      <c r="A51" s="188" t="s">
        <v>120</v>
      </c>
      <c r="B51" s="189">
        <v>6</v>
      </c>
      <c r="C51" s="189" t="s">
        <v>75</v>
      </c>
      <c r="D51" s="230" t="s">
        <v>315</v>
      </c>
      <c r="E51" s="228">
        <v>12000000</v>
      </c>
      <c r="F51" s="15"/>
      <c r="G51" s="20"/>
      <c r="H51" s="20"/>
      <c r="I51" s="20"/>
    </row>
    <row r="52" spans="1:9" s="1" customFormat="1" ht="15.75" customHeight="1">
      <c r="A52" s="188" t="s">
        <v>121</v>
      </c>
      <c r="B52" s="189">
        <v>6</v>
      </c>
      <c r="C52" s="189" t="s">
        <v>75</v>
      </c>
      <c r="D52" s="230" t="s">
        <v>85</v>
      </c>
      <c r="E52" s="228">
        <v>35000000</v>
      </c>
      <c r="F52" s="15"/>
      <c r="G52" s="20"/>
      <c r="H52" s="20"/>
      <c r="I52" s="20"/>
    </row>
    <row r="53" spans="1:9" s="1" customFormat="1" ht="15" customHeight="1">
      <c r="A53" s="188" t="s">
        <v>82</v>
      </c>
      <c r="B53" s="189">
        <v>6</v>
      </c>
      <c r="C53" s="189" t="s">
        <v>75</v>
      </c>
      <c r="D53" s="231" t="s">
        <v>105</v>
      </c>
      <c r="E53" s="229">
        <f>+E54+E55</f>
        <v>35000000</v>
      </c>
      <c r="F53" s="15"/>
      <c r="G53" s="21"/>
      <c r="H53" s="20"/>
      <c r="I53" s="20"/>
    </row>
    <row r="54" spans="1:9" s="1" customFormat="1" ht="15" customHeight="1">
      <c r="A54" s="188" t="s">
        <v>205</v>
      </c>
      <c r="B54" s="189">
        <v>6</v>
      </c>
      <c r="C54" s="189" t="s">
        <v>75</v>
      </c>
      <c r="D54" s="230" t="s">
        <v>206</v>
      </c>
      <c r="E54" s="228">
        <v>20000000</v>
      </c>
      <c r="F54" s="15"/>
      <c r="G54" s="21"/>
      <c r="H54" s="20"/>
      <c r="I54" s="20"/>
    </row>
    <row r="55" spans="1:9" s="1" customFormat="1" ht="15" customHeight="1">
      <c r="A55" s="188" t="s">
        <v>201</v>
      </c>
      <c r="B55" s="189">
        <v>6</v>
      </c>
      <c r="C55" s="189" t="s">
        <v>75</v>
      </c>
      <c r="D55" s="230" t="s">
        <v>202</v>
      </c>
      <c r="E55" s="228">
        <v>15000000</v>
      </c>
      <c r="F55" s="15"/>
      <c r="G55" s="21"/>
      <c r="H55" s="20"/>
      <c r="I55" s="20"/>
    </row>
    <row r="56" spans="1:9" s="1" customFormat="1" ht="14.25" customHeight="1">
      <c r="A56" s="188" t="s">
        <v>84</v>
      </c>
      <c r="B56" s="189">
        <v>6</v>
      </c>
      <c r="C56" s="189" t="s">
        <v>75</v>
      </c>
      <c r="D56" s="218" t="s">
        <v>106</v>
      </c>
      <c r="E56" s="229">
        <f>+E57+E58+E59+E60+E61+E62+E63+E64+E65+E66</f>
        <v>680700000</v>
      </c>
      <c r="F56" s="15"/>
      <c r="G56" s="21"/>
      <c r="H56" s="20"/>
      <c r="I56" s="20"/>
    </row>
    <row r="57" spans="1:9" s="1" customFormat="1" ht="14.25" customHeight="1">
      <c r="A57" s="188" t="s">
        <v>135</v>
      </c>
      <c r="B57" s="185">
        <v>6</v>
      </c>
      <c r="C57" s="185" t="s">
        <v>90</v>
      </c>
      <c r="D57" s="187" t="s">
        <v>136</v>
      </c>
      <c r="E57" s="195">
        <v>145000000</v>
      </c>
      <c r="F57" s="15"/>
      <c r="G57" s="21"/>
      <c r="H57" s="20"/>
      <c r="I57" s="20"/>
    </row>
    <row r="58" spans="1:9" s="1" customFormat="1" ht="17.25" customHeight="1">
      <c r="A58" s="188" t="s">
        <v>215</v>
      </c>
      <c r="B58" s="185">
        <v>6</v>
      </c>
      <c r="C58" s="185" t="s">
        <v>90</v>
      </c>
      <c r="D58" s="198" t="s">
        <v>216</v>
      </c>
      <c r="E58" s="195">
        <v>50000000</v>
      </c>
      <c r="F58" s="15"/>
      <c r="G58" s="21"/>
      <c r="H58" s="20"/>
      <c r="I58" s="20"/>
    </row>
    <row r="59" spans="1:9" s="1" customFormat="1" ht="17.25" customHeight="1">
      <c r="A59" s="188" t="s">
        <v>151</v>
      </c>
      <c r="B59" s="185">
        <v>6</v>
      </c>
      <c r="C59" s="185" t="s">
        <v>90</v>
      </c>
      <c r="D59" s="198" t="s">
        <v>152</v>
      </c>
      <c r="E59" s="195">
        <v>700000</v>
      </c>
      <c r="F59" s="15"/>
      <c r="G59" s="21"/>
      <c r="H59" s="20"/>
      <c r="I59" s="20"/>
    </row>
    <row r="60" spans="1:9" s="1" customFormat="1" ht="18" customHeight="1">
      <c r="A60" s="188" t="s">
        <v>137</v>
      </c>
      <c r="B60" s="185">
        <v>6</v>
      </c>
      <c r="C60" s="185" t="s">
        <v>90</v>
      </c>
      <c r="D60" s="198" t="s">
        <v>300</v>
      </c>
      <c r="E60" s="195">
        <v>320000000</v>
      </c>
      <c r="F60" s="15"/>
      <c r="G60" s="21"/>
      <c r="H60" s="20"/>
      <c r="I60" s="20"/>
    </row>
    <row r="61" spans="1:9" s="1" customFormat="1" ht="18" customHeight="1">
      <c r="A61" s="188" t="s">
        <v>124</v>
      </c>
      <c r="B61" s="185">
        <v>6</v>
      </c>
      <c r="C61" s="185" t="s">
        <v>75</v>
      </c>
      <c r="D61" s="198" t="s">
        <v>125</v>
      </c>
      <c r="E61" s="195">
        <v>2000000</v>
      </c>
      <c r="F61" s="15"/>
      <c r="G61" s="21"/>
      <c r="H61" s="20"/>
      <c r="I61" s="20"/>
    </row>
    <row r="62" spans="1:9" s="1" customFormat="1" ht="17.25" customHeight="1">
      <c r="A62" s="188" t="s">
        <v>122</v>
      </c>
      <c r="B62" s="185">
        <v>6</v>
      </c>
      <c r="C62" s="185" t="s">
        <v>75</v>
      </c>
      <c r="D62" s="198" t="s">
        <v>123</v>
      </c>
      <c r="E62" s="199">
        <v>3000000</v>
      </c>
      <c r="F62" s="15"/>
      <c r="G62" s="21"/>
      <c r="H62" s="20"/>
      <c r="I62" s="20"/>
    </row>
    <row r="63" spans="1:9" s="1" customFormat="1" ht="19.5" customHeight="1">
      <c r="A63" s="200" t="s">
        <v>126</v>
      </c>
      <c r="B63" s="185">
        <v>6</v>
      </c>
      <c r="C63" s="185" t="s">
        <v>75</v>
      </c>
      <c r="D63" s="198" t="s">
        <v>127</v>
      </c>
      <c r="E63" s="199">
        <v>95000000</v>
      </c>
      <c r="F63" s="15"/>
      <c r="G63" s="21"/>
      <c r="H63" s="20"/>
      <c r="I63" s="20"/>
    </row>
    <row r="64" spans="1:9" s="1" customFormat="1" ht="18.75" customHeight="1">
      <c r="A64" s="200" t="s">
        <v>130</v>
      </c>
      <c r="B64" s="185">
        <v>6</v>
      </c>
      <c r="C64" s="185" t="s">
        <v>75</v>
      </c>
      <c r="D64" s="198" t="s">
        <v>131</v>
      </c>
      <c r="E64" s="199">
        <v>5000000</v>
      </c>
      <c r="F64" s="15"/>
      <c r="G64" s="21"/>
      <c r="H64" s="20"/>
      <c r="I64" s="20"/>
    </row>
    <row r="65" spans="1:8" s="1" customFormat="1" ht="15.75" customHeight="1">
      <c r="A65" s="188" t="s">
        <v>129</v>
      </c>
      <c r="B65" s="185">
        <v>6</v>
      </c>
      <c r="C65" s="185" t="s">
        <v>75</v>
      </c>
      <c r="D65" s="198" t="s">
        <v>128</v>
      </c>
      <c r="E65" s="195">
        <v>30000000</v>
      </c>
      <c r="F65" s="15"/>
      <c r="G65" s="32"/>
      <c r="H65" s="20"/>
    </row>
    <row r="66" spans="1:8" s="1" customFormat="1" ht="27.75" customHeight="1">
      <c r="A66" s="188" t="s">
        <v>207</v>
      </c>
      <c r="B66" s="185">
        <v>6</v>
      </c>
      <c r="C66" s="185" t="s">
        <v>90</v>
      </c>
      <c r="D66" s="198" t="s">
        <v>208</v>
      </c>
      <c r="E66" s="195">
        <v>30000000</v>
      </c>
      <c r="F66" s="15"/>
      <c r="G66" s="32"/>
      <c r="H66" s="20"/>
    </row>
    <row r="67" spans="1:7" s="1" customFormat="1" ht="14.25" customHeight="1">
      <c r="A67" s="188" t="s">
        <v>86</v>
      </c>
      <c r="B67" s="189">
        <v>6</v>
      </c>
      <c r="C67" s="189" t="s">
        <v>75</v>
      </c>
      <c r="D67" s="218" t="s">
        <v>107</v>
      </c>
      <c r="E67" s="229">
        <f>+E68+E69+E70+E71</f>
        <v>79000000</v>
      </c>
      <c r="F67" s="15"/>
      <c r="G67" s="21"/>
    </row>
    <row r="68" spans="1:8" s="1" customFormat="1" ht="14.25" customHeight="1">
      <c r="A68" s="188" t="s">
        <v>199</v>
      </c>
      <c r="B68" s="185">
        <v>6</v>
      </c>
      <c r="C68" s="185" t="s">
        <v>75</v>
      </c>
      <c r="D68" s="201" t="s">
        <v>198</v>
      </c>
      <c r="E68" s="195">
        <v>20000000</v>
      </c>
      <c r="F68" s="15"/>
      <c r="G68" s="33"/>
      <c r="H68" s="20"/>
    </row>
    <row r="69" spans="1:8" s="1" customFormat="1" ht="19.5" customHeight="1">
      <c r="A69" s="188" t="s">
        <v>150</v>
      </c>
      <c r="B69" s="185">
        <v>6</v>
      </c>
      <c r="C69" s="185" t="s">
        <v>75</v>
      </c>
      <c r="D69" s="198" t="s">
        <v>149</v>
      </c>
      <c r="E69" s="195">
        <v>5000000</v>
      </c>
      <c r="F69" s="15"/>
      <c r="G69" s="32"/>
      <c r="H69" s="20"/>
    </row>
    <row r="70" spans="1:8" s="1" customFormat="1" ht="19.5" customHeight="1">
      <c r="A70" s="188" t="s">
        <v>312</v>
      </c>
      <c r="B70" s="185">
        <v>6</v>
      </c>
      <c r="C70" s="185" t="s">
        <v>75</v>
      </c>
      <c r="D70" s="197" t="s">
        <v>200</v>
      </c>
      <c r="E70" s="195">
        <v>50000000</v>
      </c>
      <c r="F70" s="15"/>
      <c r="G70" s="32"/>
      <c r="H70" s="20"/>
    </row>
    <row r="71" spans="1:9" s="1" customFormat="1" ht="20.25" customHeight="1">
      <c r="A71" s="188" t="s">
        <v>138</v>
      </c>
      <c r="B71" s="185">
        <v>6</v>
      </c>
      <c r="C71" s="185" t="s">
        <v>75</v>
      </c>
      <c r="D71" s="198" t="s">
        <v>139</v>
      </c>
      <c r="E71" s="195">
        <v>4000000</v>
      </c>
      <c r="F71" s="15"/>
      <c r="G71" s="20"/>
      <c r="H71" s="20"/>
      <c r="I71" s="20"/>
    </row>
    <row r="72" spans="1:7" s="1" customFormat="1" ht="18.75" customHeight="1">
      <c r="A72" s="188" t="s">
        <v>87</v>
      </c>
      <c r="B72" s="189">
        <v>6</v>
      </c>
      <c r="C72" s="189" t="s">
        <v>75</v>
      </c>
      <c r="D72" s="203" t="s">
        <v>88</v>
      </c>
      <c r="E72" s="228">
        <v>100000000</v>
      </c>
      <c r="F72" s="15"/>
      <c r="G72" s="15"/>
    </row>
    <row r="73" spans="1:7" ht="18" customHeight="1">
      <c r="A73" s="225" t="s">
        <v>65</v>
      </c>
      <c r="B73" s="189">
        <v>3</v>
      </c>
      <c r="C73" s="189" t="s">
        <v>74</v>
      </c>
      <c r="D73" s="218" t="s">
        <v>66</v>
      </c>
      <c r="E73" s="227">
        <f>+E74+E77</f>
        <v>1070000000</v>
      </c>
      <c r="F73" s="15"/>
      <c r="G73" s="15"/>
    </row>
    <row r="74" spans="1:7" ht="14.25" customHeight="1">
      <c r="A74" s="225" t="s">
        <v>209</v>
      </c>
      <c r="B74" s="223">
        <v>3</v>
      </c>
      <c r="C74" s="223" t="s">
        <v>74</v>
      </c>
      <c r="D74" s="218" t="s">
        <v>110</v>
      </c>
      <c r="E74" s="227">
        <f>+E75+E76</f>
        <v>1050000000</v>
      </c>
      <c r="F74" s="15"/>
      <c r="G74" s="15"/>
    </row>
    <row r="75" spans="1:7" ht="14.25" customHeight="1">
      <c r="A75" s="188" t="s">
        <v>211</v>
      </c>
      <c r="B75" s="185">
        <v>3</v>
      </c>
      <c r="C75" s="185" t="s">
        <v>74</v>
      </c>
      <c r="D75" s="187" t="s">
        <v>212</v>
      </c>
      <c r="E75" s="186">
        <v>50000000</v>
      </c>
      <c r="F75" s="15"/>
      <c r="G75" s="15"/>
    </row>
    <row r="76" spans="1:7" ht="15" customHeight="1">
      <c r="A76" s="188" t="s">
        <v>210</v>
      </c>
      <c r="B76" s="185">
        <v>3</v>
      </c>
      <c r="C76" s="185" t="s">
        <v>74</v>
      </c>
      <c r="D76" s="203" t="s">
        <v>197</v>
      </c>
      <c r="E76" s="186">
        <v>1000000000</v>
      </c>
      <c r="F76" s="15"/>
      <c r="G76" s="15"/>
    </row>
    <row r="77" spans="1:7" ht="15" customHeight="1">
      <c r="A77" s="204" t="s">
        <v>44</v>
      </c>
      <c r="B77" s="223">
        <v>4</v>
      </c>
      <c r="C77" s="223" t="s">
        <v>74</v>
      </c>
      <c r="D77" s="218" t="s">
        <v>108</v>
      </c>
      <c r="E77" s="227">
        <f>+E78</f>
        <v>20000000</v>
      </c>
      <c r="F77" s="15"/>
      <c r="G77" s="15"/>
    </row>
    <row r="78" spans="1:7" ht="13.5" customHeight="1">
      <c r="A78" s="204" t="s">
        <v>68</v>
      </c>
      <c r="B78" s="183">
        <v>5</v>
      </c>
      <c r="C78" s="185" t="s">
        <v>74</v>
      </c>
      <c r="D78" s="184" t="s">
        <v>109</v>
      </c>
      <c r="E78" s="202">
        <f>+E79+E80</f>
        <v>20000000</v>
      </c>
      <c r="F78" s="15"/>
      <c r="G78" s="15"/>
    </row>
    <row r="79" spans="1:8" s="2" customFormat="1" ht="15" customHeight="1">
      <c r="A79" s="205" t="s">
        <v>45</v>
      </c>
      <c r="B79" s="185">
        <v>6</v>
      </c>
      <c r="C79" s="185" t="s">
        <v>75</v>
      </c>
      <c r="D79" s="187" t="s">
        <v>46</v>
      </c>
      <c r="E79" s="186">
        <v>10000000</v>
      </c>
      <c r="F79" s="30"/>
      <c r="G79" s="30"/>
      <c r="H79" s="16"/>
    </row>
    <row r="80" spans="1:7" s="2" customFormat="1" ht="16.5" customHeight="1">
      <c r="A80" s="205" t="s">
        <v>116</v>
      </c>
      <c r="B80" s="185">
        <v>6</v>
      </c>
      <c r="C80" s="185" t="s">
        <v>75</v>
      </c>
      <c r="D80" s="187" t="s">
        <v>47</v>
      </c>
      <c r="E80" s="186">
        <v>10000000</v>
      </c>
      <c r="F80" s="30"/>
      <c r="G80" s="30"/>
    </row>
    <row r="81" spans="1:8" s="2" customFormat="1" ht="14.25" customHeight="1">
      <c r="A81" s="204" t="s">
        <v>50</v>
      </c>
      <c r="B81" s="189">
        <v>3</v>
      </c>
      <c r="C81" s="189" t="s">
        <v>74</v>
      </c>
      <c r="D81" s="222" t="s">
        <v>213</v>
      </c>
      <c r="E81" s="219">
        <f>+E82+E86</f>
        <v>618487516</v>
      </c>
      <c r="F81" s="30"/>
      <c r="G81" s="20"/>
      <c r="H81" s="23"/>
    </row>
    <row r="82" spans="1:8" s="2" customFormat="1" ht="15">
      <c r="A82" s="204" t="s">
        <v>51</v>
      </c>
      <c r="B82" s="223">
        <v>4</v>
      </c>
      <c r="C82" s="223" t="s">
        <v>74</v>
      </c>
      <c r="D82" s="218" t="s">
        <v>214</v>
      </c>
      <c r="E82" s="219">
        <f>+E83+E84+E85</f>
        <v>593487516</v>
      </c>
      <c r="F82" s="30"/>
      <c r="G82" s="20"/>
      <c r="H82" s="23"/>
    </row>
    <row r="83" spans="1:8" s="2" customFormat="1" ht="19.5" customHeight="1">
      <c r="A83" s="205" t="s">
        <v>52</v>
      </c>
      <c r="B83" s="189">
        <v>5</v>
      </c>
      <c r="C83" s="189" t="s">
        <v>75</v>
      </c>
      <c r="D83" s="203" t="s">
        <v>53</v>
      </c>
      <c r="E83" s="206">
        <v>463487516</v>
      </c>
      <c r="F83" s="30"/>
      <c r="G83" s="20"/>
      <c r="H83" s="23"/>
    </row>
    <row r="84" spans="1:8" s="2" customFormat="1" ht="13.5" customHeight="1">
      <c r="A84" s="205" t="s">
        <v>117</v>
      </c>
      <c r="B84" s="189">
        <v>5</v>
      </c>
      <c r="C84" s="189" t="s">
        <v>75</v>
      </c>
      <c r="D84" s="203" t="s">
        <v>118</v>
      </c>
      <c r="E84" s="186">
        <v>90000000</v>
      </c>
      <c r="F84" s="30"/>
      <c r="G84" s="20"/>
      <c r="H84" s="23"/>
    </row>
    <row r="85" spans="1:8" s="2" customFormat="1" ht="16.5" customHeight="1">
      <c r="A85" s="205" t="s">
        <v>89</v>
      </c>
      <c r="B85" s="189">
        <v>5</v>
      </c>
      <c r="C85" s="189" t="s">
        <v>75</v>
      </c>
      <c r="D85" s="203" t="s">
        <v>119</v>
      </c>
      <c r="E85" s="186">
        <v>40000000</v>
      </c>
      <c r="F85" s="30"/>
      <c r="G85" s="20"/>
      <c r="H85" s="23"/>
    </row>
    <row r="86" spans="1:8" s="2" customFormat="1" ht="15" customHeight="1">
      <c r="A86" s="226" t="s">
        <v>54</v>
      </c>
      <c r="B86" s="221">
        <v>4</v>
      </c>
      <c r="C86" s="221" t="s">
        <v>74</v>
      </c>
      <c r="D86" s="218" t="s">
        <v>111</v>
      </c>
      <c r="E86" s="219">
        <f>+E87+E88</f>
        <v>25000000</v>
      </c>
      <c r="F86" s="30"/>
      <c r="G86" s="20"/>
      <c r="H86" s="23"/>
    </row>
    <row r="87" spans="1:8" s="2" customFormat="1" ht="17.25" customHeight="1">
      <c r="A87" s="207" t="s">
        <v>55</v>
      </c>
      <c r="B87" s="208">
        <v>5</v>
      </c>
      <c r="C87" s="208" t="s">
        <v>75</v>
      </c>
      <c r="D87" s="203" t="s">
        <v>56</v>
      </c>
      <c r="E87" s="186">
        <v>20000000</v>
      </c>
      <c r="F87" s="30"/>
      <c r="G87" s="20"/>
      <c r="H87" s="23"/>
    </row>
    <row r="88" spans="1:8" s="2" customFormat="1" ht="22.5" customHeight="1">
      <c r="A88" s="203" t="s">
        <v>218</v>
      </c>
      <c r="B88" s="208">
        <v>5</v>
      </c>
      <c r="C88" s="208" t="s">
        <v>90</v>
      </c>
      <c r="D88" s="209" t="s">
        <v>217</v>
      </c>
      <c r="E88" s="186">
        <v>5000000</v>
      </c>
      <c r="F88" s="30"/>
      <c r="G88" s="20"/>
      <c r="H88" s="23"/>
    </row>
    <row r="89" spans="1:8" s="2" customFormat="1" ht="22.5" customHeight="1">
      <c r="A89" s="218" t="s">
        <v>302</v>
      </c>
      <c r="B89" s="221">
        <v>3</v>
      </c>
      <c r="C89" s="221" t="s">
        <v>74</v>
      </c>
      <c r="D89" s="222" t="s">
        <v>303</v>
      </c>
      <c r="E89" s="219">
        <f>E90</f>
        <v>3730136883</v>
      </c>
      <c r="F89" s="30"/>
      <c r="G89" s="22"/>
      <c r="H89" s="23"/>
    </row>
    <row r="90" spans="1:8" ht="18.75" customHeight="1">
      <c r="A90" s="216" t="s">
        <v>140</v>
      </c>
      <c r="B90" s="223">
        <v>3</v>
      </c>
      <c r="C90" s="223" t="s">
        <v>74</v>
      </c>
      <c r="D90" s="224" t="s">
        <v>69</v>
      </c>
      <c r="E90" s="219">
        <f>+E91</f>
        <v>3730136883</v>
      </c>
      <c r="F90" s="254"/>
      <c r="G90" s="15"/>
      <c r="H90" s="24"/>
    </row>
    <row r="91" spans="1:9" ht="18.75" customHeight="1">
      <c r="A91" s="215" t="s">
        <v>141</v>
      </c>
      <c r="B91" s="189">
        <v>4</v>
      </c>
      <c r="C91" s="189" t="s">
        <v>74</v>
      </c>
      <c r="D91" s="216" t="s">
        <v>103</v>
      </c>
      <c r="E91" s="258">
        <f>E92+E95</f>
        <v>3730136883</v>
      </c>
      <c r="F91" s="15"/>
      <c r="G91" s="15"/>
      <c r="H91" s="26"/>
      <c r="I91" s="26"/>
    </row>
    <row r="92" spans="1:7" ht="18.75" customHeight="1">
      <c r="A92" s="205" t="s">
        <v>146</v>
      </c>
      <c r="B92" s="189">
        <v>5</v>
      </c>
      <c r="C92" s="189" t="s">
        <v>75</v>
      </c>
      <c r="D92" s="218" t="s">
        <v>145</v>
      </c>
      <c r="E92" s="219">
        <f>E93</f>
        <v>270000000</v>
      </c>
      <c r="F92" s="15"/>
      <c r="G92" s="15"/>
    </row>
    <row r="93" spans="1:7" ht="19.5" customHeight="1">
      <c r="A93" s="205" t="s">
        <v>147</v>
      </c>
      <c r="B93" s="189">
        <v>5</v>
      </c>
      <c r="C93" s="189" t="s">
        <v>75</v>
      </c>
      <c r="D93" s="210" t="s">
        <v>299</v>
      </c>
      <c r="E93" s="217">
        <f>E94</f>
        <v>270000000</v>
      </c>
      <c r="F93" s="15"/>
      <c r="G93" s="15"/>
    </row>
    <row r="94" spans="1:9" ht="18" customHeight="1">
      <c r="A94" s="205" t="s">
        <v>148</v>
      </c>
      <c r="B94" s="189">
        <v>5</v>
      </c>
      <c r="C94" s="189" t="s">
        <v>75</v>
      </c>
      <c r="D94" s="212" t="s">
        <v>313</v>
      </c>
      <c r="E94" s="217">
        <v>270000000</v>
      </c>
      <c r="F94" s="15"/>
      <c r="G94" s="15"/>
      <c r="H94" s="26"/>
      <c r="I94" s="26"/>
    </row>
    <row r="95" spans="1:13" s="2" customFormat="1" ht="16.5" customHeight="1">
      <c r="A95" s="205" t="s">
        <v>142</v>
      </c>
      <c r="B95" s="189">
        <v>5</v>
      </c>
      <c r="C95" s="189" t="s">
        <v>75</v>
      </c>
      <c r="D95" s="218" t="s">
        <v>106</v>
      </c>
      <c r="E95" s="241">
        <f>E96+E98</f>
        <v>3460136883</v>
      </c>
      <c r="F95" s="30"/>
      <c r="G95" s="18"/>
      <c r="H95" s="13"/>
      <c r="I95" s="13"/>
      <c r="J95" s="13"/>
      <c r="K95" s="13"/>
      <c r="L95" s="13"/>
      <c r="M95" s="14"/>
    </row>
    <row r="96" spans="1:13" s="2" customFormat="1" ht="19.5" customHeight="1">
      <c r="A96" s="205" t="s">
        <v>143</v>
      </c>
      <c r="B96" s="185">
        <v>5</v>
      </c>
      <c r="C96" s="185" t="s">
        <v>75</v>
      </c>
      <c r="D96" s="210" t="s">
        <v>99</v>
      </c>
      <c r="E96" s="192">
        <f>E97</f>
        <v>601960425</v>
      </c>
      <c r="F96" s="67"/>
      <c r="G96" s="18"/>
      <c r="H96" s="17"/>
      <c r="I96" s="17"/>
      <c r="J96" s="17"/>
      <c r="K96" s="17"/>
      <c r="L96" s="17"/>
      <c r="M96" s="17"/>
    </row>
    <row r="97" spans="1:13" s="2" customFormat="1" ht="18" customHeight="1">
      <c r="A97" s="205" t="s">
        <v>144</v>
      </c>
      <c r="B97" s="185">
        <v>5</v>
      </c>
      <c r="C97" s="185" t="s">
        <v>75</v>
      </c>
      <c r="D97" s="211" t="s">
        <v>100</v>
      </c>
      <c r="E97" s="192">
        <v>601960425</v>
      </c>
      <c r="F97" s="67"/>
      <c r="G97" s="18"/>
      <c r="H97" s="17"/>
      <c r="I97" s="17"/>
      <c r="J97" s="17"/>
      <c r="K97" s="17"/>
      <c r="L97" s="17"/>
      <c r="M97" s="17"/>
    </row>
    <row r="98" spans="1:6" ht="18" customHeight="1">
      <c r="A98" s="205" t="s">
        <v>317</v>
      </c>
      <c r="B98" s="256">
        <v>5</v>
      </c>
      <c r="C98" s="256" t="s">
        <v>75</v>
      </c>
      <c r="D98" s="255" t="s">
        <v>97</v>
      </c>
      <c r="E98" s="259">
        <f>E99</f>
        <v>2858176458</v>
      </c>
      <c r="F98" s="214"/>
    </row>
    <row r="99" spans="1:5" ht="18" customHeight="1">
      <c r="A99" s="205" t="s">
        <v>318</v>
      </c>
      <c r="B99" s="257">
        <v>5</v>
      </c>
      <c r="C99" s="257" t="s">
        <v>75</v>
      </c>
      <c r="D99" s="211" t="s">
        <v>98</v>
      </c>
      <c r="E99" s="186">
        <f>2858176458</f>
        <v>2858176458</v>
      </c>
    </row>
  </sheetData>
  <sheetProtection/>
  <mergeCells count="5">
    <mergeCell ref="A1:E1"/>
    <mergeCell ref="A2:E2"/>
    <mergeCell ref="A3:E3"/>
    <mergeCell ref="A4:D4"/>
    <mergeCell ref="E4:E5"/>
  </mergeCells>
  <conditionalFormatting sqref="D96:D97 D91">
    <cfRule type="expression" priority="28" dxfId="2">
      <formula>$A91="A9"</formula>
    </cfRule>
    <cfRule type="expression" priority="29" dxfId="1">
      <formula>$A91="A8"</formula>
    </cfRule>
    <cfRule type="expression" priority="30" dxfId="0">
      <formula>$A91="A7"</formula>
    </cfRule>
    <cfRule type="expression" priority="31" dxfId="6">
      <formula>$A91="A6"</formula>
    </cfRule>
    <cfRule type="expression" priority="32" dxfId="7">
      <formula>$A91="A5"</formula>
    </cfRule>
    <cfRule type="expression" priority="33" dxfId="8">
      <formula>$A91="A4"</formula>
    </cfRule>
    <cfRule type="expression" priority="34" dxfId="9">
      <formula>$A91="A3"</formula>
    </cfRule>
    <cfRule type="expression" priority="35" dxfId="10">
      <formula>$A91="A2"</formula>
    </cfRule>
    <cfRule type="expression" priority="36" dxfId="11">
      <formula>$A91="A1"</formula>
    </cfRule>
  </conditionalFormatting>
  <conditionalFormatting sqref="D98">
    <cfRule type="expression" priority="1" dxfId="2">
      <formula>$A98="A9"</formula>
    </cfRule>
    <cfRule type="expression" priority="2" dxfId="1">
      <formula>$A98="A8"</formula>
    </cfRule>
    <cfRule type="expression" priority="3" dxfId="0">
      <formula>$A98="A7"</formula>
    </cfRule>
    <cfRule type="expression" priority="4" dxfId="6">
      <formula>$A98="A6"</formula>
    </cfRule>
    <cfRule type="expression" priority="5" dxfId="7">
      <formula>$A98="A5"</formula>
    </cfRule>
    <cfRule type="expression" priority="6" dxfId="8">
      <formula>$A98="A4"</formula>
    </cfRule>
    <cfRule type="expression" priority="7" dxfId="9">
      <formula>$A98="A3"</formula>
    </cfRule>
    <cfRule type="expression" priority="8" dxfId="10">
      <formula>$A98="A2"</formula>
    </cfRule>
    <cfRule type="expression" priority="9" dxfId="11">
      <formula>$A98="A1"</formula>
    </cfRule>
  </conditionalFormatting>
  <printOptions horizontalCentered="1" verticalCentered="1"/>
  <pageMargins left="0.25" right="0.25" top="0.75" bottom="0.75" header="0.3" footer="0.3"/>
  <pageSetup horizontalDpi="600" verticalDpi="600" orientation="portrait" scale="70" r:id="rId1"/>
  <ignoredErrors>
    <ignoredError sqref="E32 E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3.8515625" style="0" customWidth="1"/>
    <col min="2" max="2" width="19.28125" style="0" customWidth="1"/>
    <col min="3" max="3" width="42.8515625" style="0" customWidth="1"/>
    <col min="4" max="4" width="15.57421875" style="0" customWidth="1"/>
  </cols>
  <sheetData>
    <row r="1" ht="15.75">
      <c r="C1" s="35" t="s">
        <v>154</v>
      </c>
    </row>
    <row r="2" spans="2:4" ht="15">
      <c r="B2" s="263" t="s">
        <v>190</v>
      </c>
      <c r="C2" s="263"/>
      <c r="D2" s="263"/>
    </row>
    <row r="3" spans="2:4" ht="15">
      <c r="B3" s="36" t="s">
        <v>0</v>
      </c>
      <c r="C3" s="36" t="s">
        <v>155</v>
      </c>
      <c r="D3" s="36" t="s">
        <v>156</v>
      </c>
    </row>
    <row r="4" spans="2:4" ht="18" customHeight="1">
      <c r="B4" s="37">
        <v>1</v>
      </c>
      <c r="C4" s="37" t="s">
        <v>219</v>
      </c>
      <c r="D4" s="38">
        <f>+D5+D10</f>
        <v>8011640800</v>
      </c>
    </row>
    <row r="5" spans="2:4" ht="18" customHeight="1">
      <c r="B5" s="37" t="s">
        <v>157</v>
      </c>
      <c r="C5" s="37" t="s">
        <v>158</v>
      </c>
      <c r="D5" s="38">
        <f>D7</f>
        <v>7986640800</v>
      </c>
    </row>
    <row r="6" spans="2:4" ht="18" customHeight="1">
      <c r="B6" s="37" t="s">
        <v>220</v>
      </c>
      <c r="C6" s="37" t="s">
        <v>221</v>
      </c>
      <c r="D6" s="38">
        <f>D7</f>
        <v>7986640800</v>
      </c>
    </row>
    <row r="7" spans="2:4" ht="18" customHeight="1">
      <c r="B7" s="37" t="s">
        <v>159</v>
      </c>
      <c r="C7" s="39" t="s">
        <v>160</v>
      </c>
      <c r="D7" s="40">
        <f>D8</f>
        <v>7986640800</v>
      </c>
    </row>
    <row r="8" spans="2:4" ht="18" customHeight="1">
      <c r="B8" s="37" t="s">
        <v>161</v>
      </c>
      <c r="C8" s="39" t="s">
        <v>222</v>
      </c>
      <c r="D8" s="40">
        <f>D9</f>
        <v>7986640800</v>
      </c>
    </row>
    <row r="9" spans="2:4" ht="18" customHeight="1">
      <c r="B9" s="37" t="s">
        <v>162</v>
      </c>
      <c r="C9" s="39" t="s">
        <v>223</v>
      </c>
      <c r="D9" s="40">
        <f>'COSTO VENTA 2022'!G19</f>
        <v>7986640800</v>
      </c>
    </row>
    <row r="10" spans="2:4" ht="18" customHeight="1">
      <c r="B10" s="37" t="s">
        <v>163</v>
      </c>
      <c r="C10" s="37" t="s">
        <v>164</v>
      </c>
      <c r="D10" s="38">
        <f>D11+D13</f>
        <v>25000000</v>
      </c>
    </row>
    <row r="11" spans="2:4" ht="18" customHeight="1">
      <c r="B11" s="37" t="s">
        <v>165</v>
      </c>
      <c r="C11" s="37" t="s">
        <v>166</v>
      </c>
      <c r="D11" s="65">
        <f>+D12</f>
        <v>0</v>
      </c>
    </row>
    <row r="12" spans="2:4" ht="18" customHeight="1">
      <c r="B12" s="39" t="s">
        <v>167</v>
      </c>
      <c r="C12" s="39" t="s">
        <v>168</v>
      </c>
      <c r="D12" s="41">
        <v>0</v>
      </c>
    </row>
    <row r="13" spans="2:4" ht="18" customHeight="1">
      <c r="B13" s="37" t="s">
        <v>169</v>
      </c>
      <c r="C13" s="37" t="s">
        <v>170</v>
      </c>
      <c r="D13" s="38">
        <f>D14</f>
        <v>25000000</v>
      </c>
    </row>
    <row r="14" spans="2:4" ht="18" customHeight="1">
      <c r="B14" s="39" t="s">
        <v>171</v>
      </c>
      <c r="C14" s="39" t="s">
        <v>172</v>
      </c>
      <c r="D14" s="40">
        <v>25000000</v>
      </c>
    </row>
  </sheetData>
  <sheetProtection/>
  <mergeCells count="1">
    <mergeCell ref="B2:D2"/>
  </mergeCells>
  <printOptions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4">
      <selection activeCell="K6" sqref="K6"/>
    </sheetView>
  </sheetViews>
  <sheetFormatPr defaultColWidth="11.421875" defaultRowHeight="12.75"/>
  <cols>
    <col min="1" max="1" width="5.00390625" style="0" customWidth="1"/>
    <col min="2" max="2" width="37.421875" style="0" customWidth="1"/>
    <col min="3" max="3" width="13.8515625" style="0" customWidth="1"/>
    <col min="7" max="7" width="15.8515625" style="60" bestFit="1" customWidth="1"/>
  </cols>
  <sheetData>
    <row r="1" spans="2:7" ht="15">
      <c r="B1" s="264" t="s">
        <v>191</v>
      </c>
      <c r="C1" s="264"/>
      <c r="D1" s="264"/>
      <c r="E1" s="264"/>
      <c r="F1" s="264"/>
      <c r="G1" s="264"/>
    </row>
    <row r="2" ht="13.5" thickBot="1"/>
    <row r="3" spans="2:7" ht="38.25">
      <c r="B3" s="42" t="s">
        <v>174</v>
      </c>
      <c r="C3" s="43" t="s">
        <v>175</v>
      </c>
      <c r="D3" s="44" t="s">
        <v>176</v>
      </c>
      <c r="E3" s="43" t="s">
        <v>177</v>
      </c>
      <c r="F3" s="44" t="s">
        <v>178</v>
      </c>
      <c r="G3" s="61" t="s">
        <v>173</v>
      </c>
    </row>
    <row r="4" spans="2:7" ht="16.5" customHeight="1">
      <c r="B4" s="45" t="s">
        <v>179</v>
      </c>
      <c r="C4" s="54">
        <f>+D4*12</f>
        <v>168480</v>
      </c>
      <c r="D4" s="54">
        <v>14040</v>
      </c>
      <c r="E4" s="55">
        <v>177600</v>
      </c>
      <c r="F4" s="49">
        <f>+E4</f>
        <v>177600</v>
      </c>
      <c r="G4" s="62">
        <f>+D4*F4</f>
        <v>2493504000</v>
      </c>
    </row>
    <row r="5" spans="2:7" ht="16.5" customHeight="1">
      <c r="B5" s="46" t="s">
        <v>180</v>
      </c>
      <c r="C5" s="54">
        <f>+D5*12</f>
        <v>222000</v>
      </c>
      <c r="D5" s="54">
        <v>18500</v>
      </c>
      <c r="E5" s="56">
        <v>22200</v>
      </c>
      <c r="F5" s="49">
        <f>+E5</f>
        <v>22200</v>
      </c>
      <c r="G5" s="62">
        <f aca="true" t="shared" si="0" ref="G5:G16">+D5*F5</f>
        <v>410700000</v>
      </c>
    </row>
    <row r="6" spans="2:7" ht="16.5" customHeight="1">
      <c r="B6" s="46" t="s">
        <v>181</v>
      </c>
      <c r="C6" s="54">
        <f>+D6*12</f>
        <v>174000</v>
      </c>
      <c r="D6" s="54">
        <v>14500</v>
      </c>
      <c r="E6" s="56">
        <v>33300</v>
      </c>
      <c r="F6" s="49">
        <f>+E6</f>
        <v>33300</v>
      </c>
      <c r="G6" s="62">
        <f t="shared" si="0"/>
        <v>482850000</v>
      </c>
    </row>
    <row r="7" spans="2:7" ht="16.5" customHeight="1">
      <c r="B7" s="46" t="s">
        <v>187</v>
      </c>
      <c r="C7" s="54">
        <f>+D7*24</f>
        <v>196800</v>
      </c>
      <c r="D7" s="54">
        <f>8200</f>
        <v>8200</v>
      </c>
      <c r="E7" s="56">
        <v>22200</v>
      </c>
      <c r="F7" s="49">
        <f>+ROUND(E7/2,0)</f>
        <v>11100</v>
      </c>
      <c r="G7" s="62">
        <f t="shared" si="0"/>
        <v>91020000</v>
      </c>
    </row>
    <row r="8" spans="2:7" ht="16.5" customHeight="1">
      <c r="B8" s="46" t="s">
        <v>182</v>
      </c>
      <c r="C8" s="54">
        <f>+D8*24</f>
        <v>189072</v>
      </c>
      <c r="D8" s="54">
        <v>7878</v>
      </c>
      <c r="E8" s="56">
        <v>140000</v>
      </c>
      <c r="F8" s="49">
        <f>+ROUND(E8/2,0)</f>
        <v>70000</v>
      </c>
      <c r="G8" s="62">
        <f t="shared" si="0"/>
        <v>551460000</v>
      </c>
    </row>
    <row r="9" spans="2:7" ht="16.5" customHeight="1">
      <c r="B9" s="46" t="s">
        <v>183</v>
      </c>
      <c r="C9" s="54">
        <f>+D9*24</f>
        <v>170160</v>
      </c>
      <c r="D9" s="54">
        <v>7090</v>
      </c>
      <c r="E9" s="56">
        <v>50000</v>
      </c>
      <c r="F9" s="49">
        <f>+ROUND(E9/2,0)</f>
        <v>25000</v>
      </c>
      <c r="G9" s="62">
        <f t="shared" si="0"/>
        <v>177250000</v>
      </c>
    </row>
    <row r="10" spans="2:7" ht="16.5" customHeight="1">
      <c r="B10" s="51" t="s">
        <v>188</v>
      </c>
      <c r="C10" s="54">
        <f>+D10*24</f>
        <v>189072</v>
      </c>
      <c r="D10" s="54">
        <v>7878</v>
      </c>
      <c r="E10" s="56">
        <v>120000</v>
      </c>
      <c r="F10" s="49">
        <f>+ROUND(E10*0.666666666666667,0)</f>
        <v>80000</v>
      </c>
      <c r="G10" s="62">
        <f t="shared" si="0"/>
        <v>630240000</v>
      </c>
    </row>
    <row r="11" spans="2:7" ht="16.5" customHeight="1">
      <c r="B11" s="51" t="s">
        <v>189</v>
      </c>
      <c r="C11" s="54">
        <f>+D11*12</f>
        <v>168480</v>
      </c>
      <c r="D11" s="54">
        <v>14040</v>
      </c>
      <c r="E11" s="56">
        <v>30000</v>
      </c>
      <c r="F11" s="49">
        <f>+ROUND(E11*1.33333333333333,0)</f>
        <v>40000</v>
      </c>
      <c r="G11" s="62">
        <f t="shared" si="0"/>
        <v>561600000</v>
      </c>
    </row>
    <row r="12" spans="2:7" ht="16.5" customHeight="1">
      <c r="B12" s="50" t="s">
        <v>184</v>
      </c>
      <c r="C12" s="54">
        <f>+D12*6</f>
        <v>163800</v>
      </c>
      <c r="D12" s="54">
        <v>27300</v>
      </c>
      <c r="E12" s="57">
        <v>11100</v>
      </c>
      <c r="F12" s="49">
        <f>+ROUND(E12*2.33333333333333,0)</f>
        <v>25900</v>
      </c>
      <c r="G12" s="62">
        <f t="shared" si="0"/>
        <v>707070000</v>
      </c>
    </row>
    <row r="13" spans="2:7" ht="16.5" customHeight="1">
      <c r="B13" s="53" t="s">
        <v>186</v>
      </c>
      <c r="C13" s="54">
        <f>+D13*6</f>
        <v>147420</v>
      </c>
      <c r="D13" s="54">
        <v>24570</v>
      </c>
      <c r="E13" s="58">
        <v>0</v>
      </c>
      <c r="F13" s="49">
        <v>0</v>
      </c>
      <c r="G13" s="62">
        <f t="shared" si="0"/>
        <v>0</v>
      </c>
    </row>
    <row r="14" spans="2:7" ht="16.5" customHeight="1">
      <c r="B14" s="53" t="s">
        <v>192</v>
      </c>
      <c r="C14" s="54">
        <f>+D14*24</f>
        <v>189072</v>
      </c>
      <c r="D14" s="54">
        <v>7878</v>
      </c>
      <c r="E14" s="56">
        <v>100000</v>
      </c>
      <c r="F14" s="49">
        <f>+ROUND(E14*0.5,0)</f>
        <v>50000</v>
      </c>
      <c r="G14" s="62">
        <f t="shared" si="0"/>
        <v>393900000</v>
      </c>
    </row>
    <row r="15" spans="2:7" ht="16.5" customHeight="1">
      <c r="B15" s="53" t="s">
        <v>194</v>
      </c>
      <c r="C15" s="54">
        <f>+D15*12</f>
        <v>168480</v>
      </c>
      <c r="D15" s="54">
        <v>14040</v>
      </c>
      <c r="E15" s="56">
        <v>44400</v>
      </c>
      <c r="F15" s="49">
        <f>+E15</f>
        <v>44400</v>
      </c>
      <c r="G15" s="62">
        <f t="shared" si="0"/>
        <v>623376000</v>
      </c>
    </row>
    <row r="16" spans="2:7" ht="16.5" customHeight="1">
      <c r="B16" s="53" t="s">
        <v>193</v>
      </c>
      <c r="C16" s="54">
        <f>+D16*6</f>
        <v>163800</v>
      </c>
      <c r="D16" s="54">
        <f>27300</f>
        <v>27300</v>
      </c>
      <c r="E16" s="56">
        <v>11100</v>
      </c>
      <c r="F16" s="49">
        <f>+ROUND(E16*2.33333333333333,0)</f>
        <v>25900</v>
      </c>
      <c r="G16" s="62">
        <f t="shared" si="0"/>
        <v>707070000</v>
      </c>
    </row>
    <row r="17" spans="2:7" ht="16.5" customHeight="1" thickBot="1">
      <c r="B17" s="52" t="s">
        <v>185</v>
      </c>
      <c r="C17" s="54"/>
      <c r="D17" s="54"/>
      <c r="E17" s="59">
        <f>SUM(E4:E16)</f>
        <v>761900</v>
      </c>
      <c r="F17" s="59">
        <f>SUM(F4:F16)</f>
        <v>605400</v>
      </c>
      <c r="G17" s="63">
        <f>SUM(G4:G16)</f>
        <v>7830040000</v>
      </c>
    </row>
    <row r="19" spans="2:7" ht="13.5" thickBot="1">
      <c r="B19" s="47" t="s">
        <v>314</v>
      </c>
      <c r="C19" s="48"/>
      <c r="D19" s="48"/>
      <c r="E19" s="48"/>
      <c r="F19" s="48"/>
      <c r="G19" s="64">
        <f>+G17*1.02</f>
        <v>7986640800</v>
      </c>
    </row>
    <row r="20" spans="2:7" ht="28.5" customHeight="1" thickBot="1">
      <c r="B20" s="265" t="s">
        <v>316</v>
      </c>
      <c r="C20" s="266"/>
      <c r="D20" s="266"/>
      <c r="E20" s="266"/>
      <c r="F20" s="266"/>
      <c r="G20" s="267"/>
    </row>
  </sheetData>
  <sheetProtection/>
  <mergeCells count="2">
    <mergeCell ref="B1:G1"/>
    <mergeCell ref="B20:G2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26"/>
  <sheetViews>
    <sheetView zoomScalePageLayoutView="0" workbookViewId="0" topLeftCell="AP1">
      <selection activeCell="AQ5" sqref="AQ5"/>
    </sheetView>
  </sheetViews>
  <sheetFormatPr defaultColWidth="11.421875" defaultRowHeight="12.75"/>
  <cols>
    <col min="2" max="2" width="24.00390625" style="0" customWidth="1"/>
    <col min="5" max="5" width="0" style="0" hidden="1" customWidth="1"/>
    <col min="6" max="6" width="18.421875" style="0" hidden="1" customWidth="1"/>
    <col min="7" max="11" width="0" style="0" hidden="1" customWidth="1"/>
    <col min="12" max="12" width="14.7109375" style="0" hidden="1" customWidth="1"/>
    <col min="13" max="13" width="17.28125" style="0" customWidth="1"/>
    <col min="16" max="31" width="0" style="0" hidden="1" customWidth="1"/>
    <col min="32" max="32" width="3.421875" style="0" hidden="1" customWidth="1"/>
    <col min="34" max="34" width="18.00390625" style="0" customWidth="1"/>
    <col min="35" max="35" width="20.7109375" style="0" hidden="1" customWidth="1"/>
    <col min="41" max="41" width="0" style="0" hidden="1" customWidth="1"/>
  </cols>
  <sheetData>
    <row r="2" spans="1:42" ht="12.75">
      <c r="A2" s="68" t="s">
        <v>224</v>
      </c>
      <c r="B2" s="68"/>
      <c r="C2" s="69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72"/>
      <c r="AB2" s="73"/>
      <c r="AC2" s="72"/>
      <c r="AD2" s="72"/>
      <c r="AE2" s="73"/>
      <c r="AF2" s="72"/>
      <c r="AG2" s="72"/>
      <c r="AH2" s="74"/>
      <c r="AI2" s="75"/>
      <c r="AJ2" s="76"/>
      <c r="AK2" s="76"/>
      <c r="AL2" s="76"/>
      <c r="AM2" s="76"/>
      <c r="AN2" s="76"/>
      <c r="AO2" s="76"/>
      <c r="AP2" s="76"/>
    </row>
    <row r="3" spans="1:42" ht="12.75">
      <c r="A3" s="68" t="s">
        <v>301</v>
      </c>
      <c r="B3" s="68"/>
      <c r="C3" s="69"/>
      <c r="D3" s="69"/>
      <c r="E3" s="69"/>
      <c r="F3" s="70"/>
      <c r="G3" s="70"/>
      <c r="H3" s="70"/>
      <c r="I3" s="70"/>
      <c r="J3" s="70"/>
      <c r="K3" s="70"/>
      <c r="L3" s="70"/>
      <c r="M3" s="70"/>
      <c r="N3" s="70"/>
      <c r="O3" s="71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72"/>
      <c r="AB3" s="73"/>
      <c r="AC3" s="72"/>
      <c r="AD3" s="72"/>
      <c r="AE3" s="73"/>
      <c r="AF3" s="72"/>
      <c r="AG3" s="72"/>
      <c r="AH3" s="74"/>
      <c r="AI3" s="75"/>
      <c r="AJ3" s="76"/>
      <c r="AK3" s="76"/>
      <c r="AL3" s="76"/>
      <c r="AM3" s="76"/>
      <c r="AN3" s="76"/>
      <c r="AO3" s="76"/>
      <c r="AP3" s="76"/>
    </row>
    <row r="4" spans="1:42" ht="12.75" customHeight="1" thickBot="1">
      <c r="A4" s="77" t="s">
        <v>225</v>
      </c>
      <c r="B4" s="77"/>
      <c r="C4" s="78"/>
      <c r="D4" s="78"/>
      <c r="E4" s="78"/>
      <c r="F4" s="79"/>
      <c r="G4" s="79"/>
      <c r="H4" s="79"/>
      <c r="I4" s="79"/>
      <c r="J4" s="79"/>
      <c r="K4" s="79"/>
      <c r="L4" s="79"/>
      <c r="M4" s="79"/>
      <c r="N4" s="80"/>
      <c r="O4" s="81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  <c r="AA4" s="82"/>
      <c r="AB4" s="83"/>
      <c r="AC4" s="82"/>
      <c r="AD4" s="82"/>
      <c r="AE4" s="83"/>
      <c r="AF4" s="82"/>
      <c r="AG4" s="82"/>
      <c r="AH4" s="84"/>
      <c r="AI4" s="268" t="s">
        <v>11</v>
      </c>
      <c r="AJ4" s="268"/>
      <c r="AK4" s="268"/>
      <c r="AL4" s="268"/>
      <c r="AM4" s="268"/>
      <c r="AN4" s="268"/>
      <c r="AO4" s="85"/>
      <c r="AP4" s="86"/>
    </row>
    <row r="5" spans="1:42" ht="12.75">
      <c r="A5" s="269" t="s">
        <v>226</v>
      </c>
      <c r="B5" s="270" t="s">
        <v>227</v>
      </c>
      <c r="C5" s="271" t="s">
        <v>228</v>
      </c>
      <c r="D5" s="271" t="s">
        <v>229</v>
      </c>
      <c r="E5" s="87" t="s">
        <v>230</v>
      </c>
      <c r="F5" s="88" t="s">
        <v>230</v>
      </c>
      <c r="G5" s="88" t="s">
        <v>231</v>
      </c>
      <c r="H5" s="88" t="s">
        <v>230</v>
      </c>
      <c r="I5" s="88" t="s">
        <v>230</v>
      </c>
      <c r="J5" s="88" t="s">
        <v>230</v>
      </c>
      <c r="K5" s="89"/>
      <c r="L5" s="90" t="s">
        <v>230</v>
      </c>
      <c r="M5" s="272" t="s">
        <v>232</v>
      </c>
      <c r="N5" s="91" t="s">
        <v>233</v>
      </c>
      <c r="O5" s="92" t="s">
        <v>234</v>
      </c>
      <c r="P5" s="93" t="s">
        <v>235</v>
      </c>
      <c r="Q5" s="93" t="s">
        <v>236</v>
      </c>
      <c r="R5" s="93" t="s">
        <v>236</v>
      </c>
      <c r="S5" s="93" t="s">
        <v>236</v>
      </c>
      <c r="T5" s="93" t="s">
        <v>236</v>
      </c>
      <c r="U5" s="93" t="s">
        <v>236</v>
      </c>
      <c r="V5" s="93" t="s">
        <v>236</v>
      </c>
      <c r="W5" s="93" t="s">
        <v>236</v>
      </c>
      <c r="X5" s="93"/>
      <c r="Y5" s="275" t="s">
        <v>237</v>
      </c>
      <c r="Z5" s="93" t="s">
        <v>236</v>
      </c>
      <c r="AA5" s="93" t="s">
        <v>238</v>
      </c>
      <c r="AB5" s="93" t="s">
        <v>238</v>
      </c>
      <c r="AC5" s="93" t="s">
        <v>239</v>
      </c>
      <c r="AD5" s="93" t="s">
        <v>239</v>
      </c>
      <c r="AE5" s="93" t="s">
        <v>240</v>
      </c>
      <c r="AF5" s="93" t="s">
        <v>173</v>
      </c>
      <c r="AG5" s="93" t="s">
        <v>173</v>
      </c>
      <c r="AH5" s="94" t="s">
        <v>173</v>
      </c>
      <c r="AI5" s="95" t="s">
        <v>241</v>
      </c>
      <c r="AJ5" s="96" t="s">
        <v>238</v>
      </c>
      <c r="AK5" s="96" t="s">
        <v>238</v>
      </c>
      <c r="AL5" s="96" t="s">
        <v>238</v>
      </c>
      <c r="AM5" s="96" t="s">
        <v>242</v>
      </c>
      <c r="AN5" s="97" t="s">
        <v>243</v>
      </c>
      <c r="AO5" s="97" t="s">
        <v>244</v>
      </c>
      <c r="AP5" s="98"/>
    </row>
    <row r="6" spans="1:42" ht="12.75">
      <c r="A6" s="269"/>
      <c r="B6" s="270"/>
      <c r="C6" s="271"/>
      <c r="D6" s="271"/>
      <c r="E6" s="87" t="s">
        <v>245</v>
      </c>
      <c r="F6" s="88" t="s">
        <v>245</v>
      </c>
      <c r="G6" s="88" t="s">
        <v>246</v>
      </c>
      <c r="H6" s="88" t="s">
        <v>245</v>
      </c>
      <c r="I6" s="88" t="s">
        <v>245</v>
      </c>
      <c r="J6" s="88" t="s">
        <v>245</v>
      </c>
      <c r="K6" s="89"/>
      <c r="L6" s="90" t="s">
        <v>245</v>
      </c>
      <c r="M6" s="273"/>
      <c r="N6" s="99" t="s">
        <v>247</v>
      </c>
      <c r="O6" s="100" t="s">
        <v>230</v>
      </c>
      <c r="P6" s="101" t="s">
        <v>248</v>
      </c>
      <c r="Q6" s="101" t="s">
        <v>249</v>
      </c>
      <c r="R6" s="101" t="s">
        <v>249</v>
      </c>
      <c r="S6" s="101" t="s">
        <v>249</v>
      </c>
      <c r="T6" s="101" t="s">
        <v>249</v>
      </c>
      <c r="U6" s="101" t="s">
        <v>249</v>
      </c>
      <c r="V6" s="101" t="s">
        <v>249</v>
      </c>
      <c r="W6" s="101" t="s">
        <v>249</v>
      </c>
      <c r="X6" s="101"/>
      <c r="Y6" s="276"/>
      <c r="Z6" s="101" t="s">
        <v>249</v>
      </c>
      <c r="AA6" s="101" t="s">
        <v>250</v>
      </c>
      <c r="AB6" s="101" t="s">
        <v>250</v>
      </c>
      <c r="AC6" s="101" t="s">
        <v>251</v>
      </c>
      <c r="AD6" s="101" t="s">
        <v>251</v>
      </c>
      <c r="AE6" s="101" t="s">
        <v>252</v>
      </c>
      <c r="AF6" s="101" t="s">
        <v>245</v>
      </c>
      <c r="AG6" s="101" t="s">
        <v>245</v>
      </c>
      <c r="AH6" s="102" t="s">
        <v>253</v>
      </c>
      <c r="AI6" s="101" t="s">
        <v>254</v>
      </c>
      <c r="AJ6" s="100" t="s">
        <v>254</v>
      </c>
      <c r="AK6" s="100" t="s">
        <v>254</v>
      </c>
      <c r="AL6" s="100" t="s">
        <v>254</v>
      </c>
      <c r="AM6" s="100" t="s">
        <v>255</v>
      </c>
      <c r="AN6" s="103"/>
      <c r="AO6" s="103" t="s">
        <v>256</v>
      </c>
      <c r="AP6" s="98"/>
    </row>
    <row r="7" spans="1:42" ht="13.5" thickBot="1">
      <c r="A7" s="269"/>
      <c r="B7" s="270"/>
      <c r="C7" s="271"/>
      <c r="D7" s="271"/>
      <c r="E7" s="104">
        <v>2005</v>
      </c>
      <c r="F7" s="105">
        <v>2006</v>
      </c>
      <c r="G7" s="105" t="s">
        <v>257</v>
      </c>
      <c r="H7" s="105">
        <v>2007</v>
      </c>
      <c r="I7" s="105">
        <v>2007</v>
      </c>
      <c r="J7" s="105">
        <v>2008</v>
      </c>
      <c r="K7" s="106"/>
      <c r="L7" s="107">
        <v>2009</v>
      </c>
      <c r="M7" s="274"/>
      <c r="N7" s="108" t="s">
        <v>258</v>
      </c>
      <c r="O7" s="109">
        <v>2022</v>
      </c>
      <c r="P7" s="110" t="s">
        <v>259</v>
      </c>
      <c r="Q7" s="111" t="s">
        <v>260</v>
      </c>
      <c r="R7" s="111" t="s">
        <v>260</v>
      </c>
      <c r="S7" s="111" t="s">
        <v>260</v>
      </c>
      <c r="T7" s="111" t="s">
        <v>260</v>
      </c>
      <c r="U7" s="111" t="s">
        <v>260</v>
      </c>
      <c r="V7" s="111" t="s">
        <v>260</v>
      </c>
      <c r="W7" s="111" t="s">
        <v>261</v>
      </c>
      <c r="X7" s="111"/>
      <c r="Y7" s="277"/>
      <c r="Z7" s="111" t="s">
        <v>173</v>
      </c>
      <c r="AA7" s="112"/>
      <c r="AB7" s="111" t="s">
        <v>173</v>
      </c>
      <c r="AC7" s="110"/>
      <c r="AD7" s="110">
        <v>2015</v>
      </c>
      <c r="AE7" s="110" t="s">
        <v>251</v>
      </c>
      <c r="AF7" s="110" t="s">
        <v>260</v>
      </c>
      <c r="AG7" s="111">
        <v>2022</v>
      </c>
      <c r="AH7" s="113">
        <v>2022</v>
      </c>
      <c r="AI7" s="110" t="s">
        <v>262</v>
      </c>
      <c r="AJ7" s="114" t="s">
        <v>263</v>
      </c>
      <c r="AK7" s="114" t="s">
        <v>264</v>
      </c>
      <c r="AL7" s="114" t="s">
        <v>255</v>
      </c>
      <c r="AM7" s="114" t="s">
        <v>265</v>
      </c>
      <c r="AN7" s="115"/>
      <c r="AO7" s="109" t="s">
        <v>243</v>
      </c>
      <c r="AP7" s="116"/>
    </row>
    <row r="8" spans="1:42" ht="15">
      <c r="A8" s="106" t="s">
        <v>266</v>
      </c>
      <c r="B8" s="117" t="s">
        <v>267</v>
      </c>
      <c r="C8" s="118" t="s">
        <v>268</v>
      </c>
      <c r="D8" s="119" t="s">
        <v>269</v>
      </c>
      <c r="E8" s="120">
        <v>2911800</v>
      </c>
      <c r="F8" s="121">
        <v>3071900</v>
      </c>
      <c r="G8" s="122">
        <f aca="true" t="shared" si="0" ref="G8:G20">(F8-E8)/E8</f>
        <v>0.05498317192114843</v>
      </c>
      <c r="H8" s="121">
        <f aca="true" t="shared" si="1" ref="H8:H20">F8*4.5%+F8</f>
        <v>3210135.5</v>
      </c>
      <c r="I8" s="121">
        <f aca="true" t="shared" si="2" ref="I8:I13">ROUND(H8,-2)</f>
        <v>3210100</v>
      </c>
      <c r="J8" s="121">
        <v>3402700</v>
      </c>
      <c r="K8" s="121">
        <f aca="true" t="shared" si="3" ref="K8:K20">J8*7.67%+J8</f>
        <v>3663687.09</v>
      </c>
      <c r="L8" s="123">
        <f aca="true" t="shared" si="4" ref="L8:L20">ROUND(K8,-2)</f>
        <v>3663700</v>
      </c>
      <c r="M8" s="124">
        <v>12694600</v>
      </c>
      <c r="N8" s="125">
        <v>1</v>
      </c>
      <c r="O8" s="126">
        <f>+(M8*6%)+M8</f>
        <v>13456276</v>
      </c>
      <c r="P8" s="127">
        <v>0</v>
      </c>
      <c r="Q8" s="128"/>
      <c r="R8" s="128"/>
      <c r="S8" s="128"/>
      <c r="T8" s="128">
        <f aca="true" t="shared" si="5" ref="T8:T20">S8*7.67%+S8</f>
        <v>0</v>
      </c>
      <c r="U8" s="129">
        <f aca="true" t="shared" si="6" ref="U8:U13">ROUND(T8,-2)</f>
        <v>0</v>
      </c>
      <c r="V8" s="128">
        <f aca="true" t="shared" si="7" ref="V8:V20">U8*5%+U8</f>
        <v>0</v>
      </c>
      <c r="W8" s="129" t="s">
        <v>270</v>
      </c>
      <c r="X8" s="130"/>
      <c r="Y8" s="129"/>
      <c r="Z8" s="128">
        <f>Y8*N8</f>
        <v>0</v>
      </c>
      <c r="AA8" s="128">
        <v>0</v>
      </c>
      <c r="AB8" s="128">
        <f aca="true" t="shared" si="8" ref="AB8:AB20">AA8*N8</f>
        <v>0</v>
      </c>
      <c r="AC8" s="127"/>
      <c r="AD8" s="127"/>
      <c r="AE8" s="128">
        <f aca="true" t="shared" si="9" ref="AE8:AE17">AC8*N8</f>
        <v>0</v>
      </c>
      <c r="AF8" s="131" t="e">
        <f>K8+P8+T8+AA8+#REF!</f>
        <v>#REF!</v>
      </c>
      <c r="AG8" s="132">
        <f>O8+Z8+AB8+AE8</f>
        <v>13456276</v>
      </c>
      <c r="AH8" s="133">
        <f aca="true" t="shared" si="10" ref="AH8:AH20">AG8*12</f>
        <v>161475312</v>
      </c>
      <c r="AI8" s="134"/>
      <c r="AJ8" s="135">
        <f>((O8+Z8+AB8+AE8)*12+AM8+AL8)/24</f>
        <v>7212890.998263888</v>
      </c>
      <c r="AK8" s="135">
        <f>((O8+P8+Z8+AB8+AE8)*12+AM8+AL8+AJ8)/12</f>
        <v>15026856.2463831</v>
      </c>
      <c r="AL8" s="135">
        <f aca="true" t="shared" si="11" ref="AL8:AL20">((AE8+AB8+AG8)*12+AM8)/24</f>
        <v>6924375.358333333</v>
      </c>
      <c r="AM8" s="135">
        <f aca="true" t="shared" si="12" ref="AM8:AM20">IF(E8&gt;358000*2,(O8+P8+Z8+AB8)*35%,(O8+P8+Z8+AB8)*35%)</f>
        <v>4709696.6</v>
      </c>
      <c r="AN8" s="135">
        <f aca="true" t="shared" si="13" ref="AN8:AN20">((O8+Z8+AB8+AE8)*12+AM8+AJ8+AK8)/12</f>
        <v>15702062.987053916</v>
      </c>
      <c r="AO8" s="135"/>
      <c r="AP8" s="136"/>
    </row>
    <row r="9" spans="1:42" ht="15">
      <c r="A9" s="137" t="s">
        <v>266</v>
      </c>
      <c r="B9" s="138" t="s">
        <v>271</v>
      </c>
      <c r="C9" s="139" t="s">
        <v>272</v>
      </c>
      <c r="D9" s="140" t="s">
        <v>273</v>
      </c>
      <c r="E9" s="141">
        <v>1478400</v>
      </c>
      <c r="F9" s="142">
        <v>1559700</v>
      </c>
      <c r="G9" s="143">
        <f t="shared" si="0"/>
        <v>0.05499188311688312</v>
      </c>
      <c r="H9" s="142">
        <f t="shared" si="1"/>
        <v>1629886.5</v>
      </c>
      <c r="I9" s="142">
        <f t="shared" si="2"/>
        <v>1629900</v>
      </c>
      <c r="J9" s="142">
        <v>1727700</v>
      </c>
      <c r="K9" s="142">
        <f t="shared" si="3"/>
        <v>1860214.59</v>
      </c>
      <c r="L9" s="129">
        <f t="shared" si="4"/>
        <v>1860200</v>
      </c>
      <c r="M9" s="144">
        <v>6638000</v>
      </c>
      <c r="N9" s="125">
        <v>1</v>
      </c>
      <c r="O9" s="126">
        <f aca="true" t="shared" si="14" ref="O9:O20">+(M9*6%)+M9</f>
        <v>7036280</v>
      </c>
      <c r="P9" s="127">
        <v>0</v>
      </c>
      <c r="Q9" s="128"/>
      <c r="R9" s="128"/>
      <c r="S9" s="128"/>
      <c r="T9" s="128">
        <f t="shared" si="5"/>
        <v>0</v>
      </c>
      <c r="U9" s="129">
        <f t="shared" si="6"/>
        <v>0</v>
      </c>
      <c r="V9" s="128">
        <f t="shared" si="7"/>
        <v>0</v>
      </c>
      <c r="W9" s="129"/>
      <c r="X9" s="130"/>
      <c r="Y9" s="129"/>
      <c r="Z9" s="128">
        <f>Y9*N9</f>
        <v>0</v>
      </c>
      <c r="AA9" s="128">
        <v>0</v>
      </c>
      <c r="AB9" s="128">
        <f t="shared" si="8"/>
        <v>0</v>
      </c>
      <c r="AC9" s="127"/>
      <c r="AD9" s="127"/>
      <c r="AE9" s="128">
        <f t="shared" si="9"/>
        <v>0</v>
      </c>
      <c r="AF9" s="131" t="e">
        <f>K9+P9+T9+AA9+#REF!</f>
        <v>#REF!</v>
      </c>
      <c r="AG9" s="132">
        <f>O9+Z9+AB9+AE9</f>
        <v>7036280</v>
      </c>
      <c r="AH9" s="133">
        <f t="shared" si="10"/>
        <v>84435360</v>
      </c>
      <c r="AI9" s="134"/>
      <c r="AJ9" s="135">
        <f aca="true" t="shared" si="15" ref="AJ9:AJ20">((O9+Z9+AB9+AE9)*12+AM9+AL9)/24</f>
        <v>3771617.1006944445</v>
      </c>
      <c r="AK9" s="135">
        <f aca="true" t="shared" si="16" ref="AK9:AK20">((O9+P9+Z9+AB9+AE9)*12+AM9+AL9+AJ9)/12</f>
        <v>7857535.62644676</v>
      </c>
      <c r="AL9" s="135">
        <f t="shared" si="11"/>
        <v>3620752.4166666665</v>
      </c>
      <c r="AM9" s="135">
        <f t="shared" si="12"/>
        <v>2462698</v>
      </c>
      <c r="AN9" s="135">
        <f t="shared" si="13"/>
        <v>8210600.893928434</v>
      </c>
      <c r="AO9" s="135"/>
      <c r="AP9" s="136"/>
    </row>
    <row r="10" spans="1:42" ht="15">
      <c r="A10" s="137" t="s">
        <v>266</v>
      </c>
      <c r="B10" s="138" t="s">
        <v>274</v>
      </c>
      <c r="C10" s="139" t="s">
        <v>272</v>
      </c>
      <c r="D10" s="140" t="s">
        <v>273</v>
      </c>
      <c r="E10" s="141">
        <v>1478400</v>
      </c>
      <c r="F10" s="142">
        <v>1559700</v>
      </c>
      <c r="G10" s="143">
        <f>(F10-E10)/E10</f>
        <v>0.05499188311688312</v>
      </c>
      <c r="H10" s="142">
        <f>F10*4.5%+F10</f>
        <v>1629886.5</v>
      </c>
      <c r="I10" s="142">
        <f t="shared" si="2"/>
        <v>1629900</v>
      </c>
      <c r="J10" s="142">
        <v>1727700</v>
      </c>
      <c r="K10" s="142">
        <f>J10*7.67%+J10</f>
        <v>1860214.59</v>
      </c>
      <c r="L10" s="129">
        <f>ROUND(K10,-2)</f>
        <v>1860200</v>
      </c>
      <c r="M10" s="144">
        <v>6638000</v>
      </c>
      <c r="N10" s="125">
        <v>1</v>
      </c>
      <c r="O10" s="126">
        <f t="shared" si="14"/>
        <v>7036280</v>
      </c>
      <c r="P10" s="127">
        <v>0</v>
      </c>
      <c r="Q10" s="128"/>
      <c r="R10" s="128"/>
      <c r="S10" s="128"/>
      <c r="T10" s="128">
        <f>S10*7.67%+S10</f>
        <v>0</v>
      </c>
      <c r="U10" s="129">
        <f t="shared" si="6"/>
        <v>0</v>
      </c>
      <c r="V10" s="128">
        <f>U10*5%+U10</f>
        <v>0</v>
      </c>
      <c r="W10" s="129"/>
      <c r="X10" s="130"/>
      <c r="Y10" s="129"/>
      <c r="Z10" s="128">
        <f>Y10*N10</f>
        <v>0</v>
      </c>
      <c r="AA10" s="128">
        <v>0</v>
      </c>
      <c r="AB10" s="128">
        <f t="shared" si="8"/>
        <v>0</v>
      </c>
      <c r="AC10" s="127"/>
      <c r="AD10" s="127"/>
      <c r="AE10" s="128">
        <f t="shared" si="9"/>
        <v>0</v>
      </c>
      <c r="AF10" s="131" t="e">
        <f>K10+P10+T10+AA10+#REF!</f>
        <v>#REF!</v>
      </c>
      <c r="AG10" s="132">
        <f>O10+Z10+AB10+AE10</f>
        <v>7036280</v>
      </c>
      <c r="AH10" s="133">
        <f t="shared" si="10"/>
        <v>84435360</v>
      </c>
      <c r="AI10" s="134"/>
      <c r="AJ10" s="135">
        <f t="shared" si="15"/>
        <v>3771617.1006944445</v>
      </c>
      <c r="AK10" s="135">
        <f t="shared" si="16"/>
        <v>7857535.62644676</v>
      </c>
      <c r="AL10" s="135">
        <f t="shared" si="11"/>
        <v>3620752.4166666665</v>
      </c>
      <c r="AM10" s="135">
        <f t="shared" si="12"/>
        <v>2462698</v>
      </c>
      <c r="AN10" s="135">
        <f t="shared" si="13"/>
        <v>8210600.893928434</v>
      </c>
      <c r="AO10" s="135"/>
      <c r="AP10" s="136"/>
    </row>
    <row r="11" spans="1:42" ht="15">
      <c r="A11" s="137" t="s">
        <v>275</v>
      </c>
      <c r="B11" s="138" t="s">
        <v>276</v>
      </c>
      <c r="C11" s="139" t="s">
        <v>272</v>
      </c>
      <c r="D11" s="140" t="s">
        <v>277</v>
      </c>
      <c r="E11" s="141">
        <v>1478400</v>
      </c>
      <c r="F11" s="142">
        <v>1559700</v>
      </c>
      <c r="G11" s="143">
        <f>(F11-E11)/E11</f>
        <v>0.05499188311688312</v>
      </c>
      <c r="H11" s="142">
        <f>F11*4.5%+F11</f>
        <v>1629886.5</v>
      </c>
      <c r="I11" s="142">
        <f t="shared" si="2"/>
        <v>1629900</v>
      </c>
      <c r="J11" s="142">
        <v>1727700</v>
      </c>
      <c r="K11" s="142">
        <f>J11*7.67%+J11</f>
        <v>1860214.59</v>
      </c>
      <c r="L11" s="129">
        <f>ROUND(K11,-2)</f>
        <v>1860200</v>
      </c>
      <c r="M11" s="144">
        <v>6669300</v>
      </c>
      <c r="N11" s="125">
        <v>1</v>
      </c>
      <c r="O11" s="126">
        <f t="shared" si="14"/>
        <v>7069458</v>
      </c>
      <c r="P11" s="127">
        <v>0</v>
      </c>
      <c r="Q11" s="128"/>
      <c r="R11" s="128"/>
      <c r="S11" s="128"/>
      <c r="T11" s="128">
        <f>S11*7.67%+S11</f>
        <v>0</v>
      </c>
      <c r="U11" s="129">
        <f t="shared" si="6"/>
        <v>0</v>
      </c>
      <c r="V11" s="128">
        <f>U11*5%+U11</f>
        <v>0</v>
      </c>
      <c r="W11" s="129"/>
      <c r="X11" s="130"/>
      <c r="Y11" s="129"/>
      <c r="Z11" s="128">
        <f>Y11*N11</f>
        <v>0</v>
      </c>
      <c r="AA11" s="128">
        <v>0</v>
      </c>
      <c r="AB11" s="128">
        <f t="shared" si="8"/>
        <v>0</v>
      </c>
      <c r="AC11" s="127"/>
      <c r="AD11" s="127"/>
      <c r="AE11" s="128">
        <f t="shared" si="9"/>
        <v>0</v>
      </c>
      <c r="AF11" s="131" t="e">
        <f>K11+P11+T11+AA11+#REF!</f>
        <v>#REF!</v>
      </c>
      <c r="AG11" s="132">
        <f>O11+Z11+AB11+AE11</f>
        <v>7069458</v>
      </c>
      <c r="AH11" s="133">
        <f t="shared" si="10"/>
        <v>84833496</v>
      </c>
      <c r="AI11" s="134"/>
      <c r="AJ11" s="135">
        <f t="shared" si="15"/>
        <v>3789401.3151041665</v>
      </c>
      <c r="AK11" s="135">
        <f t="shared" si="16"/>
        <v>7894586.073133681</v>
      </c>
      <c r="AL11" s="135">
        <f t="shared" si="11"/>
        <v>3637825.2624999997</v>
      </c>
      <c r="AM11" s="135">
        <f t="shared" si="12"/>
        <v>2474310.3</v>
      </c>
      <c r="AN11" s="135">
        <f t="shared" si="13"/>
        <v>8249316.140686487</v>
      </c>
      <c r="AO11" s="135"/>
      <c r="AP11" s="136"/>
    </row>
    <row r="12" spans="1:42" ht="15">
      <c r="A12" s="137" t="s">
        <v>275</v>
      </c>
      <c r="B12" s="138" t="s">
        <v>276</v>
      </c>
      <c r="C12" s="139" t="s">
        <v>272</v>
      </c>
      <c r="D12" s="140" t="s">
        <v>273</v>
      </c>
      <c r="E12" s="141">
        <v>1478400</v>
      </c>
      <c r="F12" s="142">
        <v>1559700</v>
      </c>
      <c r="G12" s="143">
        <f>(F12-E12)/E12</f>
        <v>0.05499188311688312</v>
      </c>
      <c r="H12" s="142">
        <f>F12*4.5%+F12</f>
        <v>1629886.5</v>
      </c>
      <c r="I12" s="142">
        <f t="shared" si="2"/>
        <v>1629900</v>
      </c>
      <c r="J12" s="142">
        <v>1727700</v>
      </c>
      <c r="K12" s="142">
        <f>J12*7.67%+J12</f>
        <v>1860214.59</v>
      </c>
      <c r="L12" s="129">
        <f>ROUND(K12,-2)</f>
        <v>1860200</v>
      </c>
      <c r="M12" s="144">
        <v>4886300</v>
      </c>
      <c r="N12" s="125">
        <v>1</v>
      </c>
      <c r="O12" s="126">
        <f t="shared" si="14"/>
        <v>5179478</v>
      </c>
      <c r="P12" s="127">
        <v>0</v>
      </c>
      <c r="Q12" s="128"/>
      <c r="R12" s="128"/>
      <c r="S12" s="128"/>
      <c r="T12" s="128">
        <f>S12*7.67%+S12</f>
        <v>0</v>
      </c>
      <c r="U12" s="129">
        <f t="shared" si="6"/>
        <v>0</v>
      </c>
      <c r="V12" s="128">
        <f>U12*5%+U12</f>
        <v>0</v>
      </c>
      <c r="W12" s="129"/>
      <c r="X12" s="130"/>
      <c r="Y12" s="129"/>
      <c r="Z12" s="128">
        <f>Y12*N12</f>
        <v>0</v>
      </c>
      <c r="AA12" s="128">
        <v>0</v>
      </c>
      <c r="AB12" s="128">
        <f t="shared" si="8"/>
        <v>0</v>
      </c>
      <c r="AC12" s="127"/>
      <c r="AD12" s="127"/>
      <c r="AE12" s="128">
        <f t="shared" si="9"/>
        <v>0</v>
      </c>
      <c r="AF12" s="131" t="e">
        <f>K12+P12+T12+AA12+#REF!</f>
        <v>#REF!</v>
      </c>
      <c r="AG12" s="132">
        <f>O12+Z12+AB12+AE12</f>
        <v>5179478</v>
      </c>
      <c r="AH12" s="133">
        <f t="shared" si="10"/>
        <v>62153736</v>
      </c>
      <c r="AI12" s="134"/>
      <c r="AJ12" s="135">
        <f t="shared" si="15"/>
        <v>2776326.0980902775</v>
      </c>
      <c r="AK12" s="135">
        <f t="shared" si="16"/>
        <v>5784012.704354745</v>
      </c>
      <c r="AL12" s="135">
        <f t="shared" si="11"/>
        <v>2665273.0541666667</v>
      </c>
      <c r="AM12" s="135">
        <f t="shared" si="12"/>
        <v>1812817.2999999998</v>
      </c>
      <c r="AN12" s="135">
        <f t="shared" si="13"/>
        <v>6043907.675203752</v>
      </c>
      <c r="AO12" s="135"/>
      <c r="AP12" s="136"/>
    </row>
    <row r="13" spans="1:42" ht="15">
      <c r="A13" s="137" t="s">
        <v>278</v>
      </c>
      <c r="B13" s="145" t="s">
        <v>279</v>
      </c>
      <c r="C13" s="139" t="s">
        <v>280</v>
      </c>
      <c r="D13" s="140" t="s">
        <v>281</v>
      </c>
      <c r="E13" s="141">
        <v>1573100</v>
      </c>
      <c r="F13" s="142">
        <v>1659600</v>
      </c>
      <c r="G13" s="143">
        <f t="shared" si="0"/>
        <v>0.054986968406331445</v>
      </c>
      <c r="H13" s="142">
        <f t="shared" si="1"/>
        <v>1734282</v>
      </c>
      <c r="I13" s="142">
        <f t="shared" si="2"/>
        <v>1734300</v>
      </c>
      <c r="J13" s="142">
        <v>1838400</v>
      </c>
      <c r="K13" s="142">
        <f t="shared" si="3"/>
        <v>1979405.28</v>
      </c>
      <c r="L13" s="129">
        <f t="shared" si="4"/>
        <v>1979400</v>
      </c>
      <c r="M13" s="144">
        <v>4203200</v>
      </c>
      <c r="N13" s="125">
        <v>1</v>
      </c>
      <c r="O13" s="126">
        <f t="shared" si="14"/>
        <v>4455392</v>
      </c>
      <c r="P13" s="127">
        <v>0</v>
      </c>
      <c r="Q13" s="128"/>
      <c r="R13" s="128"/>
      <c r="S13" s="128"/>
      <c r="T13" s="128">
        <f t="shared" si="5"/>
        <v>0</v>
      </c>
      <c r="U13" s="129">
        <f t="shared" si="6"/>
        <v>0</v>
      </c>
      <c r="V13" s="128">
        <f t="shared" si="7"/>
        <v>0</v>
      </c>
      <c r="W13" s="129">
        <f aca="true" t="shared" si="17" ref="W13:W20">ROUND(V13,-2)</f>
        <v>0</v>
      </c>
      <c r="X13" s="130">
        <f aca="true" t="shared" si="18" ref="X13:X20">W13*5%+W13</f>
        <v>0</v>
      </c>
      <c r="Y13" s="129">
        <f aca="true" t="shared" si="19" ref="Y13:Y20">ROUND(X13,-2)</f>
        <v>0</v>
      </c>
      <c r="Z13" s="128">
        <f aca="true" t="shared" si="20" ref="Z13:Z20">W13*N13</f>
        <v>0</v>
      </c>
      <c r="AA13" s="128">
        <v>0</v>
      </c>
      <c r="AB13" s="128">
        <f t="shared" si="8"/>
        <v>0</v>
      </c>
      <c r="AC13" s="127"/>
      <c r="AD13" s="146"/>
      <c r="AE13" s="128">
        <f t="shared" si="9"/>
        <v>0</v>
      </c>
      <c r="AF13" s="131" t="e">
        <f>K13+P13+T13+AA13+#REF!</f>
        <v>#REF!</v>
      </c>
      <c r="AG13" s="132">
        <f>O13+AA13</f>
        <v>4455392</v>
      </c>
      <c r="AH13" s="133">
        <f t="shared" si="10"/>
        <v>53464704</v>
      </c>
      <c r="AI13" s="134"/>
      <c r="AJ13" s="135">
        <f t="shared" si="15"/>
        <v>2388198.402777778</v>
      </c>
      <c r="AK13" s="135">
        <f t="shared" si="16"/>
        <v>4975413.33912037</v>
      </c>
      <c r="AL13" s="135">
        <f t="shared" si="11"/>
        <v>2292670.466666667</v>
      </c>
      <c r="AM13" s="135">
        <f t="shared" si="12"/>
        <v>1559387.2</v>
      </c>
      <c r="AN13" s="135">
        <f t="shared" si="13"/>
        <v>5198975.24515818</v>
      </c>
      <c r="AO13" s="135"/>
      <c r="AP13" s="136"/>
    </row>
    <row r="14" spans="1:42" ht="15">
      <c r="A14" s="137" t="s">
        <v>278</v>
      </c>
      <c r="B14" s="145" t="s">
        <v>282</v>
      </c>
      <c r="C14" s="139" t="s">
        <v>283</v>
      </c>
      <c r="D14" s="140" t="s">
        <v>269</v>
      </c>
      <c r="E14" s="141">
        <v>1573100</v>
      </c>
      <c r="F14" s="142">
        <v>1659600</v>
      </c>
      <c r="G14" s="143">
        <f>(F14-E14)/E14</f>
        <v>0.054986968406331445</v>
      </c>
      <c r="H14" s="142">
        <f>F14*4.5%+F14</f>
        <v>1734282</v>
      </c>
      <c r="I14" s="142">
        <f>ROUND(H14,-2)</f>
        <v>1734300</v>
      </c>
      <c r="J14" s="142">
        <v>1838400</v>
      </c>
      <c r="K14" s="142">
        <f>J14*7.67%+J14</f>
        <v>1979405.28</v>
      </c>
      <c r="L14" s="129">
        <f>ROUND(K14,-2)</f>
        <v>1979400</v>
      </c>
      <c r="M14" s="144">
        <v>3433500</v>
      </c>
      <c r="N14" s="125">
        <v>1</v>
      </c>
      <c r="O14" s="126">
        <f t="shared" si="14"/>
        <v>3639510</v>
      </c>
      <c r="P14" s="127">
        <v>0</v>
      </c>
      <c r="Q14" s="128"/>
      <c r="R14" s="128"/>
      <c r="S14" s="128"/>
      <c r="T14" s="128">
        <f>S14*7.67%+S14</f>
        <v>0</v>
      </c>
      <c r="U14" s="129">
        <f>ROUND(T14,-2)</f>
        <v>0</v>
      </c>
      <c r="V14" s="128">
        <f>U14*5%+U14</f>
        <v>0</v>
      </c>
      <c r="W14" s="129">
        <f t="shared" si="17"/>
        <v>0</v>
      </c>
      <c r="X14" s="130">
        <f t="shared" si="18"/>
        <v>0</v>
      </c>
      <c r="Y14" s="129">
        <f t="shared" si="19"/>
        <v>0</v>
      </c>
      <c r="Z14" s="128">
        <f t="shared" si="20"/>
        <v>0</v>
      </c>
      <c r="AA14" s="128">
        <v>0</v>
      </c>
      <c r="AB14" s="128">
        <f t="shared" si="8"/>
        <v>0</v>
      </c>
      <c r="AC14" s="127"/>
      <c r="AD14" s="146"/>
      <c r="AE14" s="128">
        <f t="shared" si="9"/>
        <v>0</v>
      </c>
      <c r="AF14" s="131" t="e">
        <f>K14+P14+T14+AA14+#REF!</f>
        <v>#REF!</v>
      </c>
      <c r="AG14" s="132">
        <f>O14+AA14</f>
        <v>3639510</v>
      </c>
      <c r="AH14" s="133">
        <f t="shared" si="10"/>
        <v>43674120</v>
      </c>
      <c r="AI14" s="134"/>
      <c r="AJ14" s="135">
        <f t="shared" si="15"/>
        <v>1950865.8203125</v>
      </c>
      <c r="AK14" s="135">
        <f t="shared" si="16"/>
        <v>4064303.7923177085</v>
      </c>
      <c r="AL14" s="135">
        <f>((AE14+AB14+AG14)*12+AM14)/24</f>
        <v>1872831.1875</v>
      </c>
      <c r="AM14" s="135">
        <f t="shared" si="12"/>
        <v>1273828.5</v>
      </c>
      <c r="AN14" s="135">
        <f t="shared" si="13"/>
        <v>4246926.509385851</v>
      </c>
      <c r="AO14" s="135"/>
      <c r="AP14" s="136"/>
    </row>
    <row r="15" spans="1:42" ht="15">
      <c r="A15" s="137" t="s">
        <v>278</v>
      </c>
      <c r="B15" s="145" t="s">
        <v>282</v>
      </c>
      <c r="C15" s="139" t="s">
        <v>283</v>
      </c>
      <c r="D15" s="140" t="s">
        <v>269</v>
      </c>
      <c r="E15" s="141">
        <v>1573100</v>
      </c>
      <c r="F15" s="142">
        <v>1659600</v>
      </c>
      <c r="G15" s="143">
        <f>(F15-E15)/E15</f>
        <v>0.054986968406331445</v>
      </c>
      <c r="H15" s="142">
        <f>F15*4.5%+F15</f>
        <v>1734282</v>
      </c>
      <c r="I15" s="142">
        <f>ROUND(H15,-2)</f>
        <v>1734300</v>
      </c>
      <c r="J15" s="142">
        <v>1838400</v>
      </c>
      <c r="K15" s="142">
        <f>J15*7.67%+J15</f>
        <v>1979405.28</v>
      </c>
      <c r="L15" s="129">
        <f>ROUND(K15,-2)</f>
        <v>1979400</v>
      </c>
      <c r="M15" s="144">
        <v>3433500</v>
      </c>
      <c r="N15" s="125">
        <v>1</v>
      </c>
      <c r="O15" s="126">
        <f t="shared" si="14"/>
        <v>3639510</v>
      </c>
      <c r="P15" s="127">
        <v>0</v>
      </c>
      <c r="Q15" s="128"/>
      <c r="R15" s="128"/>
      <c r="S15" s="128"/>
      <c r="T15" s="128">
        <f>S15*7.67%+S15</f>
        <v>0</v>
      </c>
      <c r="U15" s="129">
        <f>ROUND(T15,-2)</f>
        <v>0</v>
      </c>
      <c r="V15" s="128">
        <f>U15*5%+U15</f>
        <v>0</v>
      </c>
      <c r="W15" s="129">
        <f t="shared" si="17"/>
        <v>0</v>
      </c>
      <c r="X15" s="130">
        <f t="shared" si="18"/>
        <v>0</v>
      </c>
      <c r="Y15" s="129">
        <f t="shared" si="19"/>
        <v>0</v>
      </c>
      <c r="Z15" s="128">
        <f t="shared" si="20"/>
        <v>0</v>
      </c>
      <c r="AA15" s="128">
        <v>0</v>
      </c>
      <c r="AB15" s="128">
        <f t="shared" si="8"/>
        <v>0</v>
      </c>
      <c r="AC15" s="127"/>
      <c r="AD15" s="146"/>
      <c r="AE15" s="128">
        <f t="shared" si="9"/>
        <v>0</v>
      </c>
      <c r="AF15" s="131" t="e">
        <f>K15+P15+T15+AA15+#REF!</f>
        <v>#REF!</v>
      </c>
      <c r="AG15" s="132">
        <f>O15+AA15</f>
        <v>3639510</v>
      </c>
      <c r="AH15" s="133">
        <f t="shared" si="10"/>
        <v>43674120</v>
      </c>
      <c r="AI15" s="134"/>
      <c r="AJ15" s="135">
        <f t="shared" si="15"/>
        <v>1950865.8203125</v>
      </c>
      <c r="AK15" s="135">
        <f t="shared" si="16"/>
        <v>4064303.7923177085</v>
      </c>
      <c r="AL15" s="135">
        <f>((AE15+AB15+AG15)*12+AM15)/24</f>
        <v>1872831.1875</v>
      </c>
      <c r="AM15" s="135">
        <f t="shared" si="12"/>
        <v>1273828.5</v>
      </c>
      <c r="AN15" s="135">
        <f t="shared" si="13"/>
        <v>4246926.509385851</v>
      </c>
      <c r="AO15" s="135"/>
      <c r="AP15" s="136"/>
    </row>
    <row r="16" spans="1:42" ht="15">
      <c r="A16" s="137" t="s">
        <v>278</v>
      </c>
      <c r="B16" s="145" t="s">
        <v>282</v>
      </c>
      <c r="C16" s="139" t="s">
        <v>283</v>
      </c>
      <c r="D16" s="140" t="s">
        <v>269</v>
      </c>
      <c r="E16" s="141">
        <v>1573100</v>
      </c>
      <c r="F16" s="142">
        <v>1659600</v>
      </c>
      <c r="G16" s="143">
        <f>(F16-E16)/E16</f>
        <v>0.054986968406331445</v>
      </c>
      <c r="H16" s="142">
        <f>F16*4.5%+F16</f>
        <v>1734282</v>
      </c>
      <c r="I16" s="142">
        <f>ROUND(H16,-2)</f>
        <v>1734300</v>
      </c>
      <c r="J16" s="142">
        <v>1838400</v>
      </c>
      <c r="K16" s="142">
        <f>J16*7.67%+J16</f>
        <v>1979405.28</v>
      </c>
      <c r="L16" s="129">
        <f>ROUND(K16,-2)</f>
        <v>1979400</v>
      </c>
      <c r="M16" s="144">
        <v>3433500</v>
      </c>
      <c r="N16" s="125">
        <v>1</v>
      </c>
      <c r="O16" s="126">
        <f t="shared" si="14"/>
        <v>3639510</v>
      </c>
      <c r="P16" s="127">
        <v>0</v>
      </c>
      <c r="Q16" s="128"/>
      <c r="R16" s="128"/>
      <c r="S16" s="128"/>
      <c r="T16" s="128">
        <f>S16*7.67%+S16</f>
        <v>0</v>
      </c>
      <c r="U16" s="129">
        <f>ROUND(T16,-2)</f>
        <v>0</v>
      </c>
      <c r="V16" s="128">
        <f>U16*5%+U16</f>
        <v>0</v>
      </c>
      <c r="W16" s="129">
        <f t="shared" si="17"/>
        <v>0</v>
      </c>
      <c r="X16" s="130">
        <f t="shared" si="18"/>
        <v>0</v>
      </c>
      <c r="Y16" s="129">
        <f t="shared" si="19"/>
        <v>0</v>
      </c>
      <c r="Z16" s="128">
        <f t="shared" si="20"/>
        <v>0</v>
      </c>
      <c r="AA16" s="128">
        <v>0</v>
      </c>
      <c r="AB16" s="128">
        <f t="shared" si="8"/>
        <v>0</v>
      </c>
      <c r="AC16" s="127"/>
      <c r="AD16" s="146"/>
      <c r="AE16" s="128">
        <f t="shared" si="9"/>
        <v>0</v>
      </c>
      <c r="AF16" s="131" t="e">
        <f>K16+P16+T16+AA16+#REF!</f>
        <v>#REF!</v>
      </c>
      <c r="AG16" s="132">
        <f>O16+AA16</f>
        <v>3639510</v>
      </c>
      <c r="AH16" s="133">
        <f t="shared" si="10"/>
        <v>43674120</v>
      </c>
      <c r="AI16" s="134"/>
      <c r="AJ16" s="135">
        <f t="shared" si="15"/>
        <v>1950865.8203125</v>
      </c>
      <c r="AK16" s="135">
        <f t="shared" si="16"/>
        <v>4064303.7923177085</v>
      </c>
      <c r="AL16" s="135">
        <f>((AE16+AB16+AG16)*12+AM16)/24</f>
        <v>1872831.1875</v>
      </c>
      <c r="AM16" s="135">
        <f t="shared" si="12"/>
        <v>1273828.5</v>
      </c>
      <c r="AN16" s="135">
        <f t="shared" si="13"/>
        <v>4246926.509385851</v>
      </c>
      <c r="AO16" s="135"/>
      <c r="AP16" s="136"/>
    </row>
    <row r="17" spans="1:42" ht="15">
      <c r="A17" s="137" t="s">
        <v>278</v>
      </c>
      <c r="B17" s="145" t="s">
        <v>284</v>
      </c>
      <c r="C17" s="139" t="s">
        <v>285</v>
      </c>
      <c r="D17" s="140" t="s">
        <v>277</v>
      </c>
      <c r="E17" s="141">
        <v>1573100</v>
      </c>
      <c r="F17" s="142">
        <v>1659600</v>
      </c>
      <c r="G17" s="143">
        <f>(F17-E17)/E17</f>
        <v>0.054986968406331445</v>
      </c>
      <c r="H17" s="142">
        <f>F17*4.5%+F17</f>
        <v>1734282</v>
      </c>
      <c r="I17" s="142">
        <f>ROUND(H17,-2)</f>
        <v>1734300</v>
      </c>
      <c r="J17" s="142">
        <v>1838400</v>
      </c>
      <c r="K17" s="142">
        <f>J17*7.67%+J17</f>
        <v>1979405.28</v>
      </c>
      <c r="L17" s="129">
        <f>ROUND(K17,-2)</f>
        <v>1979400</v>
      </c>
      <c r="M17" s="144">
        <v>2414600</v>
      </c>
      <c r="N17" s="125">
        <v>1</v>
      </c>
      <c r="O17" s="126">
        <f t="shared" si="14"/>
        <v>2559476</v>
      </c>
      <c r="P17" s="127">
        <v>0</v>
      </c>
      <c r="Q17" s="128"/>
      <c r="R17" s="128"/>
      <c r="S17" s="128"/>
      <c r="T17" s="128">
        <f>S17*7.67%+S17</f>
        <v>0</v>
      </c>
      <c r="U17" s="129">
        <f>ROUND(T17,-2)</f>
        <v>0</v>
      </c>
      <c r="V17" s="128">
        <f>U17*5%+U17</f>
        <v>0</v>
      </c>
      <c r="W17" s="129">
        <f t="shared" si="17"/>
        <v>0</v>
      </c>
      <c r="X17" s="130">
        <f t="shared" si="18"/>
        <v>0</v>
      </c>
      <c r="Y17" s="129">
        <f t="shared" si="19"/>
        <v>0</v>
      </c>
      <c r="Z17" s="128">
        <f t="shared" si="20"/>
        <v>0</v>
      </c>
      <c r="AA17" s="128">
        <v>0</v>
      </c>
      <c r="AB17" s="128">
        <f t="shared" si="8"/>
        <v>0</v>
      </c>
      <c r="AC17" s="127"/>
      <c r="AD17" s="146"/>
      <c r="AE17" s="128">
        <f t="shared" si="9"/>
        <v>0</v>
      </c>
      <c r="AF17" s="131" t="e">
        <f>K17+P17+T17+AA17+#REF!</f>
        <v>#REF!</v>
      </c>
      <c r="AG17" s="132">
        <f>O17+AA17</f>
        <v>2559476</v>
      </c>
      <c r="AH17" s="133">
        <f t="shared" si="10"/>
        <v>30713712</v>
      </c>
      <c r="AI17" s="134"/>
      <c r="AJ17" s="135">
        <f t="shared" si="15"/>
        <v>1371941.3454861112</v>
      </c>
      <c r="AK17" s="135">
        <f t="shared" si="16"/>
        <v>2858211.136429398</v>
      </c>
      <c r="AL17" s="135">
        <f>((AE17+AB17+AG17)*12+AM17)/24</f>
        <v>1317063.6916666667</v>
      </c>
      <c r="AM17" s="135">
        <f t="shared" si="12"/>
        <v>895816.6</v>
      </c>
      <c r="AN17" s="135">
        <f t="shared" si="13"/>
        <v>2986640.090159626</v>
      </c>
      <c r="AO17" s="135"/>
      <c r="AP17" s="136"/>
    </row>
    <row r="18" spans="1:42" ht="15">
      <c r="A18" s="147" t="s">
        <v>286</v>
      </c>
      <c r="B18" s="117" t="s">
        <v>287</v>
      </c>
      <c r="C18" s="139" t="s">
        <v>288</v>
      </c>
      <c r="D18" s="140" t="s">
        <v>289</v>
      </c>
      <c r="E18" s="141">
        <v>1415000</v>
      </c>
      <c r="F18" s="142">
        <v>1482900</v>
      </c>
      <c r="G18" s="143">
        <f t="shared" si="0"/>
        <v>0.04798586572438163</v>
      </c>
      <c r="H18" s="142">
        <f t="shared" si="1"/>
        <v>1549630.5</v>
      </c>
      <c r="I18" s="142">
        <v>1560000</v>
      </c>
      <c r="J18" s="142">
        <f>I18*6%+I18</f>
        <v>1653600</v>
      </c>
      <c r="K18" s="142">
        <f t="shared" si="3"/>
        <v>1780431.12</v>
      </c>
      <c r="L18" s="129">
        <f t="shared" si="4"/>
        <v>1780400</v>
      </c>
      <c r="M18" s="124">
        <v>2372200</v>
      </c>
      <c r="N18" s="125">
        <v>1</v>
      </c>
      <c r="O18" s="126">
        <f t="shared" si="14"/>
        <v>2514532</v>
      </c>
      <c r="P18" s="127">
        <v>0</v>
      </c>
      <c r="Q18" s="128"/>
      <c r="R18" s="128"/>
      <c r="S18" s="128"/>
      <c r="T18" s="128">
        <f t="shared" si="5"/>
        <v>0</v>
      </c>
      <c r="U18" s="128"/>
      <c r="V18" s="128">
        <f t="shared" si="7"/>
        <v>0</v>
      </c>
      <c r="W18" s="129">
        <f t="shared" si="17"/>
        <v>0</v>
      </c>
      <c r="X18" s="130">
        <f t="shared" si="18"/>
        <v>0</v>
      </c>
      <c r="Y18" s="129">
        <f t="shared" si="19"/>
        <v>0</v>
      </c>
      <c r="Z18" s="128">
        <f t="shared" si="20"/>
        <v>0</v>
      </c>
      <c r="AA18" s="128">
        <v>0</v>
      </c>
      <c r="AB18" s="128">
        <f t="shared" si="8"/>
        <v>0</v>
      </c>
      <c r="AC18" s="127"/>
      <c r="AD18" s="148"/>
      <c r="AE18" s="149">
        <f>AD18*N18</f>
        <v>0</v>
      </c>
      <c r="AF18" s="131" t="e">
        <f>K18+P18+T18+AA18+#REF!</f>
        <v>#REF!</v>
      </c>
      <c r="AG18" s="132">
        <f>O18+Z18+AB18+AE18</f>
        <v>2514532</v>
      </c>
      <c r="AH18" s="133">
        <f t="shared" si="10"/>
        <v>30174384</v>
      </c>
      <c r="AI18" s="134"/>
      <c r="AJ18" s="135">
        <f t="shared" si="15"/>
        <v>1347850.2690972222</v>
      </c>
      <c r="AK18" s="135">
        <f t="shared" si="16"/>
        <v>2808021.393952546</v>
      </c>
      <c r="AL18" s="135">
        <f t="shared" si="11"/>
        <v>1293936.2583333333</v>
      </c>
      <c r="AM18" s="135">
        <f t="shared" si="12"/>
        <v>880086.2</v>
      </c>
      <c r="AN18" s="135">
        <f t="shared" si="13"/>
        <v>2934195.1552541475</v>
      </c>
      <c r="AO18" s="135"/>
      <c r="AP18" s="136"/>
    </row>
    <row r="19" spans="1:42" ht="15">
      <c r="A19" s="147" t="s">
        <v>290</v>
      </c>
      <c r="B19" s="145" t="s">
        <v>291</v>
      </c>
      <c r="C19" s="139" t="s">
        <v>292</v>
      </c>
      <c r="D19" s="140" t="s">
        <v>293</v>
      </c>
      <c r="E19" s="141">
        <v>905500</v>
      </c>
      <c r="F19" s="142">
        <v>955300</v>
      </c>
      <c r="G19" s="143">
        <f t="shared" si="0"/>
        <v>0.05499723909442297</v>
      </c>
      <c r="H19" s="142">
        <f t="shared" si="1"/>
        <v>998288.5</v>
      </c>
      <c r="I19" s="142">
        <f>ROUND(H19,-2)</f>
        <v>998300</v>
      </c>
      <c r="J19" s="142">
        <v>1058200</v>
      </c>
      <c r="K19" s="142">
        <f t="shared" si="3"/>
        <v>1139363.94</v>
      </c>
      <c r="L19" s="129">
        <f t="shared" si="4"/>
        <v>1139400</v>
      </c>
      <c r="M19" s="124">
        <v>2309800</v>
      </c>
      <c r="N19" s="125">
        <v>1</v>
      </c>
      <c r="O19" s="126">
        <f t="shared" si="14"/>
        <v>2448388</v>
      </c>
      <c r="P19" s="127">
        <v>0</v>
      </c>
      <c r="Q19" s="128"/>
      <c r="R19" s="128"/>
      <c r="S19" s="128"/>
      <c r="T19" s="128">
        <f t="shared" si="5"/>
        <v>0</v>
      </c>
      <c r="U19" s="128"/>
      <c r="V19" s="128">
        <f t="shared" si="7"/>
        <v>0</v>
      </c>
      <c r="W19" s="129">
        <f t="shared" si="17"/>
        <v>0</v>
      </c>
      <c r="X19" s="130">
        <f t="shared" si="18"/>
        <v>0</v>
      </c>
      <c r="Y19" s="129">
        <f t="shared" si="19"/>
        <v>0</v>
      </c>
      <c r="Z19" s="128">
        <f t="shared" si="20"/>
        <v>0</v>
      </c>
      <c r="AA19" s="128"/>
      <c r="AB19" s="128">
        <f t="shared" si="8"/>
        <v>0</v>
      </c>
      <c r="AC19" s="127"/>
      <c r="AD19" s="148"/>
      <c r="AE19" s="149">
        <f>AD19*N19</f>
        <v>0</v>
      </c>
      <c r="AF19" s="131" t="e">
        <f>K19+P19+T19+AA19+#REF!</f>
        <v>#REF!</v>
      </c>
      <c r="AG19" s="132">
        <f>O19+Z19+AB19+AE19</f>
        <v>2448388</v>
      </c>
      <c r="AH19" s="133">
        <f t="shared" si="10"/>
        <v>29380656</v>
      </c>
      <c r="AI19" s="134"/>
      <c r="AJ19" s="135">
        <f t="shared" si="15"/>
        <v>1312395.4774305557</v>
      </c>
      <c r="AK19" s="135">
        <f t="shared" si="16"/>
        <v>2734157.244646991</v>
      </c>
      <c r="AL19" s="135">
        <f t="shared" si="11"/>
        <v>1259899.6583333334</v>
      </c>
      <c r="AM19" s="135">
        <f t="shared" si="12"/>
        <v>856935.7999999999</v>
      </c>
      <c r="AN19" s="135">
        <f t="shared" si="13"/>
        <v>2857012.043506462</v>
      </c>
      <c r="AO19" s="135"/>
      <c r="AP19" s="136"/>
    </row>
    <row r="20" spans="1:42" ht="15.75" thickBot="1">
      <c r="A20" s="147"/>
      <c r="B20" s="145" t="s">
        <v>294</v>
      </c>
      <c r="C20" s="139" t="s">
        <v>295</v>
      </c>
      <c r="D20" s="140" t="s">
        <v>296</v>
      </c>
      <c r="E20" s="141">
        <v>855100</v>
      </c>
      <c r="F20" s="142">
        <v>902100</v>
      </c>
      <c r="G20" s="143">
        <f t="shared" si="0"/>
        <v>0.054964331657116124</v>
      </c>
      <c r="H20" s="142">
        <f t="shared" si="1"/>
        <v>942694.5</v>
      </c>
      <c r="I20" s="150">
        <v>963800</v>
      </c>
      <c r="J20" s="142">
        <v>1021600</v>
      </c>
      <c r="K20" s="142">
        <f t="shared" si="3"/>
        <v>1099956.72</v>
      </c>
      <c r="L20" s="129">
        <f t="shared" si="4"/>
        <v>1100000</v>
      </c>
      <c r="M20" s="124">
        <v>2263500</v>
      </c>
      <c r="N20" s="125">
        <v>1</v>
      </c>
      <c r="O20" s="126">
        <f t="shared" si="14"/>
        <v>2399310</v>
      </c>
      <c r="P20" s="127">
        <v>0</v>
      </c>
      <c r="Q20" s="128"/>
      <c r="R20" s="128"/>
      <c r="S20" s="128"/>
      <c r="T20" s="128">
        <f t="shared" si="5"/>
        <v>0</v>
      </c>
      <c r="U20" s="128"/>
      <c r="V20" s="128">
        <f t="shared" si="7"/>
        <v>0</v>
      </c>
      <c r="W20" s="129">
        <f t="shared" si="17"/>
        <v>0</v>
      </c>
      <c r="X20" s="130">
        <f t="shared" si="18"/>
        <v>0</v>
      </c>
      <c r="Y20" s="129">
        <f t="shared" si="19"/>
        <v>0</v>
      </c>
      <c r="Z20" s="128">
        <f t="shared" si="20"/>
        <v>0</v>
      </c>
      <c r="AA20" s="128"/>
      <c r="AB20" s="128">
        <f t="shared" si="8"/>
        <v>0</v>
      </c>
      <c r="AC20" s="127"/>
      <c r="AD20" s="148"/>
      <c r="AE20" s="149">
        <f>AD20*N20</f>
        <v>0</v>
      </c>
      <c r="AF20" s="131" t="e">
        <f>K20+P20+T20+AA20+#REF!</f>
        <v>#REF!</v>
      </c>
      <c r="AG20" s="132">
        <f>O20+Z20+AB20+AE20</f>
        <v>2399310</v>
      </c>
      <c r="AH20" s="133">
        <f t="shared" si="10"/>
        <v>28791720</v>
      </c>
      <c r="AI20" s="134"/>
      <c r="AJ20" s="135">
        <f t="shared" si="15"/>
        <v>1286088.4765625</v>
      </c>
      <c r="AK20" s="135">
        <f t="shared" si="16"/>
        <v>2679350.9928385415</v>
      </c>
      <c r="AL20" s="135">
        <f t="shared" si="11"/>
        <v>1234644.9375</v>
      </c>
      <c r="AM20" s="135">
        <f t="shared" si="12"/>
        <v>839758.5</v>
      </c>
      <c r="AN20" s="135">
        <f t="shared" si="13"/>
        <v>2799743.1641167533</v>
      </c>
      <c r="AO20" s="135"/>
      <c r="AP20" s="136"/>
    </row>
    <row r="21" spans="1:42" ht="13.5" thickBot="1">
      <c r="A21" s="151" t="s">
        <v>297</v>
      </c>
      <c r="B21" s="152"/>
      <c r="C21" s="153">
        <f aca="true" t="shared" si="21" ref="C21:H21">SUM(C8:C20)</f>
        <v>0</v>
      </c>
      <c r="D21" s="153">
        <f t="shared" si="21"/>
        <v>0</v>
      </c>
      <c r="E21" s="153">
        <f t="shared" si="21"/>
        <v>19866500</v>
      </c>
      <c r="F21" s="154">
        <f t="shared" si="21"/>
        <v>20949000</v>
      </c>
      <c r="G21" s="155">
        <f t="shared" si="21"/>
        <v>0.7078329828962588</v>
      </c>
      <c r="H21" s="154">
        <f t="shared" si="21"/>
        <v>21891705</v>
      </c>
      <c r="I21" s="154"/>
      <c r="J21" s="154"/>
      <c r="K21" s="153"/>
      <c r="L21" s="153"/>
      <c r="M21" s="156">
        <f>SUM(M8:M20)</f>
        <v>61390000</v>
      </c>
      <c r="N21" s="157">
        <f>SUM(N8:N20)</f>
        <v>13</v>
      </c>
      <c r="O21" s="158">
        <f>+(M21*6%)+M21</f>
        <v>65073400</v>
      </c>
      <c r="P21" s="159">
        <f>SUM(P8:P20)</f>
        <v>0</v>
      </c>
      <c r="Q21" s="160">
        <f>SUM(Q8:Q20)</f>
        <v>0</v>
      </c>
      <c r="R21" s="160"/>
      <c r="S21" s="160"/>
      <c r="T21" s="160"/>
      <c r="U21" s="160"/>
      <c r="V21" s="160"/>
      <c r="W21" s="160"/>
      <c r="X21" s="160"/>
      <c r="Y21" s="160"/>
      <c r="Z21" s="160">
        <f>SUM(Z8:Z20)</f>
        <v>0</v>
      </c>
      <c r="AA21" s="160">
        <f>SUM(AA8:AA20)</f>
        <v>0</v>
      </c>
      <c r="AB21" s="160">
        <f>SUM(AB8:AB20)</f>
        <v>0</v>
      </c>
      <c r="AC21" s="160">
        <f>SUM(AC8:AC20)</f>
        <v>0</v>
      </c>
      <c r="AD21" s="160"/>
      <c r="AE21" s="160">
        <f>SUM(AE8:AE20)</f>
        <v>0</v>
      </c>
      <c r="AF21" s="160"/>
      <c r="AG21" s="160">
        <f aca="true" t="shared" si="22" ref="AG21:AO21">SUM(AG8:AG20)</f>
        <v>65073400</v>
      </c>
      <c r="AH21" s="161">
        <f t="shared" si="22"/>
        <v>780880800</v>
      </c>
      <c r="AI21" s="160">
        <f t="shared" si="22"/>
        <v>0</v>
      </c>
      <c r="AJ21" s="160">
        <f t="shared" si="22"/>
        <v>34880924.04513889</v>
      </c>
      <c r="AK21" s="160">
        <f t="shared" si="22"/>
        <v>72668591.76070604</v>
      </c>
      <c r="AL21" s="160">
        <f t="shared" si="22"/>
        <v>33485687.083333336</v>
      </c>
      <c r="AM21" s="160">
        <f t="shared" si="22"/>
        <v>22775690</v>
      </c>
      <c r="AN21" s="160">
        <f t="shared" si="22"/>
        <v>75933833.81715375</v>
      </c>
      <c r="AO21" s="162">
        <f t="shared" si="22"/>
        <v>0</v>
      </c>
      <c r="AP21" s="163"/>
    </row>
    <row r="22" spans="1:42" ht="15">
      <c r="A22" s="164" t="s">
        <v>298</v>
      </c>
      <c r="B22" s="165"/>
      <c r="C22" s="166"/>
      <c r="D22" s="167"/>
      <c r="E22" s="168"/>
      <c r="F22" s="169">
        <f>F21*12</f>
        <v>251388000</v>
      </c>
      <c r="G22" s="166"/>
      <c r="H22" s="166"/>
      <c r="I22" s="166"/>
      <c r="J22" s="166"/>
      <c r="K22" s="166"/>
      <c r="L22" s="166"/>
      <c r="M22" s="166"/>
      <c r="N22" s="170"/>
      <c r="O22" s="171">
        <f>O21*12</f>
        <v>780880800</v>
      </c>
      <c r="P22" s="172">
        <f>P21*12</f>
        <v>0</v>
      </c>
      <c r="Q22" s="172">
        <f>Q21*12</f>
        <v>0</v>
      </c>
      <c r="R22" s="172"/>
      <c r="S22" s="172"/>
      <c r="T22" s="172"/>
      <c r="U22" s="172"/>
      <c r="V22" s="172"/>
      <c r="W22" s="172"/>
      <c r="X22" s="172"/>
      <c r="Y22" s="172"/>
      <c r="Z22" s="173">
        <f aca="true" t="shared" si="23" ref="Z22:AE22">Z21*12</f>
        <v>0</v>
      </c>
      <c r="AA22" s="172">
        <f t="shared" si="23"/>
        <v>0</v>
      </c>
      <c r="AB22" s="173">
        <f t="shared" si="23"/>
        <v>0</v>
      </c>
      <c r="AC22" s="172">
        <f t="shared" si="23"/>
        <v>0</v>
      </c>
      <c r="AD22" s="172"/>
      <c r="AE22" s="173">
        <f t="shared" si="23"/>
        <v>0</v>
      </c>
      <c r="AF22" s="172"/>
      <c r="AG22" s="174"/>
      <c r="AH22" s="175">
        <f>AH21</f>
        <v>780880800</v>
      </c>
      <c r="AI22" s="176" t="e">
        <f>AI21+AJ21+AK21+AL21+AM21+AN21+AO21+#REF!</f>
        <v>#REF!</v>
      </c>
      <c r="AJ22" s="177"/>
      <c r="AK22" s="177"/>
      <c r="AL22" s="177"/>
      <c r="AM22" s="177"/>
      <c r="AN22" s="177"/>
      <c r="AO22" s="177"/>
      <c r="AP22" s="178"/>
    </row>
    <row r="23" spans="1:42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179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71"/>
      <c r="AA23" s="180"/>
      <c r="AB23" s="71"/>
      <c r="AC23" s="180"/>
      <c r="AD23" s="180"/>
      <c r="AE23" s="71"/>
      <c r="AF23" s="180"/>
      <c r="AG23" s="180"/>
      <c r="AH23" s="73"/>
      <c r="AI23" s="180"/>
      <c r="AJ23" s="181"/>
      <c r="AK23" s="76"/>
      <c r="AL23" s="76"/>
      <c r="AM23" s="76"/>
      <c r="AN23" s="76"/>
      <c r="AO23" s="76"/>
      <c r="AP23" s="76"/>
    </row>
    <row r="24" spans="1:42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179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71"/>
      <c r="AA24" s="180"/>
      <c r="AB24" s="71"/>
      <c r="AC24" s="180"/>
      <c r="AD24" s="180"/>
      <c r="AE24" s="71"/>
      <c r="AF24" s="180"/>
      <c r="AG24" s="180"/>
      <c r="AH24" s="73"/>
      <c r="AI24" s="180"/>
      <c r="AJ24" s="181"/>
      <c r="AK24" s="76"/>
      <c r="AL24" s="76"/>
      <c r="AM24" s="76"/>
      <c r="AN24" s="76"/>
      <c r="AO24" s="76"/>
      <c r="AP24" s="76"/>
    </row>
    <row r="25" spans="1:42" ht="12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71"/>
      <c r="AA25" s="180"/>
      <c r="AB25" s="71"/>
      <c r="AC25" s="180"/>
      <c r="AD25" s="180"/>
      <c r="AE25" s="71"/>
      <c r="AF25" s="180"/>
      <c r="AG25" s="180"/>
      <c r="AH25" s="71"/>
      <c r="AI25" s="180"/>
      <c r="AJ25" s="76"/>
      <c r="AK25" s="76"/>
      <c r="AL25" s="76"/>
      <c r="AM25" s="76"/>
      <c r="AN25" s="76"/>
      <c r="AO25" s="76"/>
      <c r="AP25" s="76"/>
    </row>
    <row r="26" spans="1:42" ht="1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82"/>
      <c r="N26" s="70"/>
      <c r="O26" s="71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71"/>
      <c r="AA26" s="180"/>
      <c r="AB26" s="71"/>
      <c r="AC26" s="180"/>
      <c r="AD26" s="180"/>
      <c r="AE26" s="71"/>
      <c r="AF26" s="180"/>
      <c r="AG26" s="180"/>
      <c r="AH26" s="71"/>
      <c r="AI26" s="180"/>
      <c r="AJ26" s="76"/>
      <c r="AK26" s="76"/>
      <c r="AL26" s="76"/>
      <c r="AM26" s="76"/>
      <c r="AN26" s="76"/>
      <c r="AO26" s="76"/>
      <c r="AP26" s="76"/>
    </row>
  </sheetData>
  <sheetProtection/>
  <mergeCells count="7">
    <mergeCell ref="AI4:AN4"/>
    <mergeCell ref="A5:A7"/>
    <mergeCell ref="B5:B7"/>
    <mergeCell ref="C5:C7"/>
    <mergeCell ref="D5:D7"/>
    <mergeCell ref="M5:M7"/>
    <mergeCell ref="Y5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Licores del Meta</dc:creator>
  <cp:keywords/>
  <dc:description/>
  <cp:lastModifiedBy>mayra m. ventas</cp:lastModifiedBy>
  <cp:lastPrinted>2021-09-22T18:02:53Z</cp:lastPrinted>
  <dcterms:created xsi:type="dcterms:W3CDTF">2006-04-24T22:10:03Z</dcterms:created>
  <dcterms:modified xsi:type="dcterms:W3CDTF">2022-09-28T21:02:47Z</dcterms:modified>
  <cp:category/>
  <cp:version/>
  <cp:contentType/>
  <cp:contentStatus/>
</cp:coreProperties>
</file>